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230" windowHeight="6165" tabRatio="623" activeTab="0"/>
  </bookViews>
  <sheets>
    <sheet name="計算式" sheetId="1" r:id="rId1"/>
  </sheets>
  <definedNames>
    <definedName name="_xlnm.Print_Area" localSheetId="0">'計算式'!$A$1:$BE$46</definedName>
  </definedNames>
  <calcPr fullCalcOnLoad="1"/>
</workbook>
</file>

<file path=xl/comments1.xml><?xml version="1.0" encoding="utf-8"?>
<comments xmlns="http://schemas.openxmlformats.org/spreadsheetml/2006/main">
  <authors>
    <author>水道課</author>
  </authors>
  <commentList>
    <comment ref="L3" authorId="0">
      <text>
        <r>
          <rPr>
            <b/>
            <sz val="9"/>
            <rFont val="ＭＳ Ｐゴシック"/>
            <family val="3"/>
          </rPr>
          <t>世帯数を入力してください。</t>
        </r>
      </text>
    </comment>
    <comment ref="L4" authorId="0">
      <text>
        <r>
          <rPr>
            <b/>
            <sz val="9"/>
            <rFont val="ＭＳ Ｐゴシック"/>
            <family val="3"/>
          </rPr>
          <t>水量を入力してください。</t>
        </r>
      </text>
    </comment>
    <comment ref="L5" authorId="0">
      <text>
        <r>
          <rPr>
            <b/>
            <sz val="9"/>
            <rFont val="ＭＳ Ｐゴシック"/>
            <family val="3"/>
          </rPr>
          <t>下水道加入の有無をリストから選んで下さい。</t>
        </r>
      </text>
    </comment>
  </commentList>
</comments>
</file>

<file path=xl/sharedStrings.xml><?xml version="1.0" encoding="utf-8"?>
<sst xmlns="http://schemas.openxmlformats.org/spreadsheetml/2006/main" count="150" uniqueCount="70">
  <si>
    <t>世帯数</t>
  </si>
  <si>
    <t>使用水量</t>
  </si>
  <si>
    <t>家事用</t>
  </si>
  <si>
    <t>あまりの計算方法</t>
  </si>
  <si>
    <t>超過水量</t>
  </si>
  <si>
    <t>超過料金</t>
  </si>
  <si>
    <t>あまりの料金</t>
  </si>
  <si>
    <t>あまりの料金区分</t>
  </si>
  <si>
    <t>水道料金計算表</t>
  </si>
  <si>
    <t>用　　途</t>
  </si>
  <si>
    <t>水道料金</t>
  </si>
  <si>
    <t>上水道料金詳細</t>
  </si>
  <si>
    <t>下水道料金詳細</t>
  </si>
  <si>
    <t>上水道</t>
  </si>
  <si>
    <t>料　金</t>
  </si>
  <si>
    <t>基本料金</t>
  </si>
  <si>
    <t>３１m3～５０m3</t>
  </si>
  <si>
    <t>２１m3～３０m3</t>
  </si>
  <si>
    <t>５１m3～１００m3</t>
  </si>
  <si>
    <t>１０１m3～５００m3</t>
  </si>
  <si>
    <t>５１m3～２００m3</t>
  </si>
  <si>
    <t>５０１m3以上</t>
  </si>
  <si>
    <t>小計</t>
  </si>
  <si>
    <t>上水道合計額</t>
  </si>
  <si>
    <t>営業用</t>
  </si>
  <si>
    <t>団体用</t>
  </si>
  <si>
    <t>臨時用</t>
  </si>
  <si>
    <t>１１m3～３０m3</t>
  </si>
  <si>
    <t>連合時の上水道料金</t>
  </si>
  <si>
    <t>有り</t>
  </si>
  <si>
    <t>無し</t>
  </si>
  <si>
    <t>下水道加入</t>
  </si>
  <si>
    <t>全体の使用量</t>
  </si>
  <si>
    <t>1世帯あたりの
平均使用量</t>
  </si>
  <si>
    <t>　1世帯あたりの平均使用量の範囲で計算しますので1m3あたりのあまりの料金区分は下記の表の色が</t>
  </si>
  <si>
    <t>あまりの水量</t>
  </si>
  <si>
    <t>あまり</t>
  </si>
  <si>
    <t>÷</t>
  </si>
  <si>
    <t>＝</t>
  </si>
  <si>
    <t>×</t>
  </si>
  <si>
    <t>＝</t>
  </si>
  <si>
    <t>+</t>
  </si>
  <si>
    <t>料金計算表（連合用）</t>
  </si>
  <si>
    <t>～</t>
  </si>
  <si>
    <t>上水道料金</t>
  </si>
  <si>
    <t>連合料金</t>
  </si>
  <si>
    <t>家事用料金</t>
  </si>
  <si>
    <t>下水道料金</t>
  </si>
  <si>
    <t>合計</t>
  </si>
  <si>
    <t>ついた部分になります。</t>
  </si>
  <si>
    <t>※消費税抜き</t>
  </si>
  <si>
    <t>５１m3～２００m3</t>
  </si>
  <si>
    <t>２０１m3～１０００m3</t>
  </si>
  <si>
    <t>１００１m3～５０００m3</t>
  </si>
  <si>
    <t>５００１m3以上</t>
  </si>
  <si>
    <t>（水道料金計算）</t>
  </si>
  <si>
    <t>（下水道使用料計算）</t>
  </si>
  <si>
    <t>5,001m3以上</t>
  </si>
  <si>
    <t>（水道）</t>
  </si>
  <si>
    <t>（下水道）</t>
  </si>
  <si>
    <t>連合時の下水道使用料</t>
  </si>
  <si>
    <t xml:space="preserve"> 501m3以上</t>
  </si>
  <si>
    <t>０～5m3まで</t>
  </si>
  <si>
    <t>6～１０m3まで</t>
  </si>
  <si>
    <t>基本料金（5m3まで）</t>
  </si>
  <si>
    <t>６m3～１０m3</t>
  </si>
  <si>
    <t>１１m3～２０m3</t>
  </si>
  <si>
    <t>下水道合計額</t>
  </si>
  <si>
    <t>消費税（10%）</t>
  </si>
  <si>
    <r>
      <t>消費税（</t>
    </r>
    <r>
      <rPr>
        <sz val="11"/>
        <color indexed="10"/>
        <rFont val="ＭＳ Ｐゴシック"/>
        <family val="3"/>
      </rPr>
      <t>１０</t>
    </r>
    <r>
      <rPr>
        <sz val="11"/>
        <rFont val="ＭＳ Ｐゴシック"/>
        <family val="3"/>
      </rPr>
      <t>％）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</si>
</sst>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gge&quot;年&quot;m&quot;月使用分&quot;"/>
    <numFmt numFmtId="178" formatCode="[$-411]ge\.m\.d;@"/>
    <numFmt numFmtId="179" formatCode="General&quot;世&quot;&quot;帯&quot;"/>
    <numFmt numFmtId="180" formatCode="General&quot;m3&quot;"/>
    <numFmt numFmtId="181" formatCode="#,##0&quot;円&quot;"/>
    <numFmt numFmtId="182" formatCode="#,##0&quot;m3&quot;"/>
    <numFmt numFmtId="183" formatCode="#,##0&quot;世&quot;&quot;帯&quot;"/>
    <numFmt numFmtId="184" formatCode="#,##0_);[Red]\(#,##0\)&quot;m3&quot;"/>
    <numFmt numFmtId="185" formatCode="General&quot;世帯&quot;"/>
    <numFmt numFmtId="186" formatCode="#,##0&quot;世帯&quot;"/>
    <numFmt numFmtId="187" formatCode="#,##0&quot;m3の家事用料金&quot;"/>
    <numFmt numFmtId="188" formatCode="#,##0&quot;世帯）&quot;"/>
    <numFmt numFmtId="189" formatCode="&quot;(&quot;#,##0&quot;円&quot;"/>
    <numFmt numFmtId="190" formatCode="[&lt;=999]000;[&lt;=9999]000\-00;000\-0000"/>
    <numFmt numFmtId="191" formatCode="#,##0&quot;m3の下水道使用料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rgb="FFFF0000"/>
      </left>
      <right>
        <color indexed="63"/>
      </right>
      <top style="double"/>
      <bottom style="medium">
        <color rgb="FFFF0000"/>
      </bottom>
    </border>
    <border>
      <left>
        <color indexed="63"/>
      </left>
      <right style="thin"/>
      <top style="double"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 style="double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double"/>
    </border>
    <border>
      <left>
        <color indexed="63"/>
      </left>
      <right style="thin"/>
      <top style="medium">
        <color rgb="FFFF0000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180" fontId="0" fillId="0" borderId="32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182" fontId="0" fillId="0" borderId="35" xfId="0" applyNumberFormat="1" applyBorder="1" applyAlignment="1" applyProtection="1">
      <alignment horizontal="right" vertical="center" indent="1"/>
      <protection/>
    </xf>
    <xf numFmtId="180" fontId="0" fillId="0" borderId="0" xfId="0" applyNumberForma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180" fontId="0" fillId="0" borderId="0" xfId="0" applyNumberFormat="1" applyBorder="1" applyAlignment="1" applyProtection="1">
      <alignment horizontal="right" vertical="center" indent="1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 indent="1"/>
      <protection/>
    </xf>
    <xf numFmtId="38" fontId="0" fillId="0" borderId="41" xfId="48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left" vertical="center" indent="1"/>
      <protection/>
    </xf>
    <xf numFmtId="38" fontId="0" fillId="0" borderId="42" xfId="48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left" vertical="center" indent="1"/>
      <protection/>
    </xf>
    <xf numFmtId="38" fontId="0" fillId="0" borderId="43" xfId="48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left" vertical="center" indent="1"/>
      <protection/>
    </xf>
    <xf numFmtId="3" fontId="0" fillId="0" borderId="42" xfId="0" applyNumberFormat="1" applyFont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 shrinkToFit="1"/>
      <protection/>
    </xf>
    <xf numFmtId="38" fontId="0" fillId="0" borderId="48" xfId="48" applyBorder="1" applyAlignment="1" applyProtection="1">
      <alignment horizontal="right" vertical="center" indent="1"/>
      <protection/>
    </xf>
    <xf numFmtId="38" fontId="0" fillId="0" borderId="48" xfId="48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38" fontId="44" fillId="33" borderId="53" xfId="48" applyFont="1" applyFill="1" applyBorder="1" applyAlignment="1" applyProtection="1">
      <alignment horizontal="right" vertical="center" indent="1"/>
      <protection/>
    </xf>
    <xf numFmtId="38" fontId="44" fillId="33" borderId="54" xfId="48" applyFont="1" applyFill="1" applyBorder="1" applyAlignment="1" applyProtection="1">
      <alignment horizontal="right" vertical="center" indent="1"/>
      <protection/>
    </xf>
    <xf numFmtId="38" fontId="44" fillId="33" borderId="53" xfId="48" applyFont="1" applyFill="1" applyBorder="1" applyAlignment="1" applyProtection="1">
      <alignment horizontal="right" vertical="center"/>
      <protection/>
    </xf>
    <xf numFmtId="38" fontId="44" fillId="33" borderId="54" xfId="48" applyFont="1" applyFill="1" applyBorder="1" applyAlignment="1" applyProtection="1">
      <alignment horizontal="right" vertical="center"/>
      <protection/>
    </xf>
    <xf numFmtId="0" fontId="0" fillId="33" borderId="55" xfId="0" applyFill="1" applyBorder="1" applyAlignment="1" applyProtection="1">
      <alignment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16" xfId="0" applyBorder="1" applyAlignment="1" applyProtection="1">
      <alignment horizontal="left" vertical="center" indent="1"/>
      <protection/>
    </xf>
    <xf numFmtId="182" fontId="0" fillId="0" borderId="30" xfId="0" applyNumberFormat="1" applyFont="1" applyBorder="1" applyAlignment="1" applyProtection="1">
      <alignment horizontal="left" vertical="center" shrinkToFit="1"/>
      <protection/>
    </xf>
    <xf numFmtId="182" fontId="0" fillId="0" borderId="16" xfId="0" applyNumberFormat="1" applyFont="1" applyBorder="1" applyAlignment="1" applyProtection="1">
      <alignment horizontal="left" vertical="center" shrinkToFit="1"/>
      <protection/>
    </xf>
    <xf numFmtId="182" fontId="0" fillId="0" borderId="17" xfId="0" applyNumberFormat="1" applyFont="1" applyBorder="1" applyAlignment="1" applyProtection="1">
      <alignment horizontal="right" vertical="center" shrinkToFit="1"/>
      <protection/>
    </xf>
    <xf numFmtId="182" fontId="0" fillId="0" borderId="30" xfId="0" applyNumberFormat="1" applyFont="1" applyBorder="1" applyAlignment="1" applyProtection="1">
      <alignment horizontal="right" vertical="center" shrinkToFit="1"/>
      <protection/>
    </xf>
    <xf numFmtId="0" fontId="45" fillId="0" borderId="59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/>
    </xf>
    <xf numFmtId="191" fontId="0" fillId="0" borderId="30" xfId="0" applyNumberFormat="1" applyFont="1" applyBorder="1" applyAlignment="1" applyProtection="1">
      <alignment horizontal="center" vertical="center" shrinkToFit="1"/>
      <protection/>
    </xf>
    <xf numFmtId="181" fontId="3" fillId="0" borderId="30" xfId="0" applyNumberFormat="1" applyFont="1" applyBorder="1" applyAlignment="1" applyProtection="1">
      <alignment horizontal="center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181" fontId="3" fillId="0" borderId="0" xfId="0" applyNumberFormat="1" applyFont="1" applyAlignment="1" applyProtection="1">
      <alignment horizontal="center" vertical="center" shrinkToFit="1"/>
      <protection/>
    </xf>
    <xf numFmtId="181" fontId="3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182" fontId="3" fillId="0" borderId="0" xfId="0" applyNumberFormat="1" applyFont="1" applyAlignment="1" applyProtection="1">
      <alignment horizontal="center" vertical="center"/>
      <protection/>
    </xf>
    <xf numFmtId="181" fontId="3" fillId="0" borderId="0" xfId="0" applyNumberFormat="1" applyFont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86" fontId="3" fillId="0" borderId="0" xfId="0" applyNumberFormat="1" applyFont="1" applyAlignment="1" applyProtection="1">
      <alignment horizontal="center" vertical="center" shrinkToFit="1"/>
      <protection/>
    </xf>
    <xf numFmtId="191" fontId="0" fillId="0" borderId="0" xfId="0" applyNumberFormat="1" applyFont="1" applyAlignment="1" applyProtection="1">
      <alignment horizontal="center" vertical="center"/>
      <protection/>
    </xf>
    <xf numFmtId="182" fontId="0" fillId="0" borderId="30" xfId="0" applyNumberFormat="1" applyFont="1" applyBorder="1" applyAlignment="1" applyProtection="1">
      <alignment horizontal="left" vertical="center"/>
      <protection/>
    </xf>
    <xf numFmtId="0" fontId="0" fillId="33" borderId="55" xfId="0" applyFill="1" applyBorder="1" applyAlignment="1" applyProtection="1">
      <alignment horizontal="distributed" vertical="center" indent="3"/>
      <protection/>
    </xf>
    <xf numFmtId="0" fontId="0" fillId="33" borderId="56" xfId="0" applyFill="1" applyBorder="1" applyAlignment="1" applyProtection="1">
      <alignment horizontal="distributed" vertical="center" indent="3"/>
      <protection/>
    </xf>
    <xf numFmtId="0" fontId="0" fillId="0" borderId="51" xfId="0" applyBorder="1" applyAlignment="1" applyProtection="1">
      <alignment horizontal="distributed" vertical="center" indent="3"/>
      <protection/>
    </xf>
    <xf numFmtId="0" fontId="0" fillId="0" borderId="52" xfId="0" applyBorder="1" applyAlignment="1" applyProtection="1">
      <alignment horizontal="distributed" vertical="center" indent="3"/>
      <protection/>
    </xf>
    <xf numFmtId="0" fontId="0" fillId="0" borderId="0" xfId="0" applyFont="1" applyAlignment="1" applyProtection="1">
      <alignment horizontal="left" vertical="center"/>
      <protection/>
    </xf>
    <xf numFmtId="181" fontId="3" fillId="0" borderId="0" xfId="0" applyNumberFormat="1" applyFont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distributed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81" fontId="3" fillId="0" borderId="46" xfId="0" applyNumberFormat="1" applyFont="1" applyBorder="1" applyAlignment="1" applyProtection="1">
      <alignment horizontal="right" vertical="center" shrinkToFit="1"/>
      <protection/>
    </xf>
    <xf numFmtId="181" fontId="3" fillId="0" borderId="47" xfId="0" applyNumberFormat="1" applyFont="1" applyBorder="1" applyAlignment="1" applyProtection="1">
      <alignment horizontal="right" vertical="center" shrinkToFit="1"/>
      <protection/>
    </xf>
    <xf numFmtId="0" fontId="0" fillId="0" borderId="46" xfId="0" applyFont="1" applyBorder="1" applyAlignment="1" applyProtection="1">
      <alignment horizontal="distributed" vertical="center"/>
      <protection/>
    </xf>
    <xf numFmtId="0" fontId="0" fillId="0" borderId="47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42" fillId="0" borderId="6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182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1" fontId="3" fillId="0" borderId="30" xfId="0" applyNumberFormat="1" applyFont="1" applyBorder="1" applyAlignment="1" applyProtection="1">
      <alignment horizontal="right" vertical="center" shrinkToFit="1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distributed" vertical="center"/>
      <protection/>
    </xf>
    <xf numFmtId="181" fontId="3" fillId="0" borderId="30" xfId="0" applyNumberFormat="1" applyFont="1" applyBorder="1" applyAlignment="1" applyProtection="1">
      <alignment horizontal="center" vertical="center" shrinkToFit="1"/>
      <protection/>
    </xf>
    <xf numFmtId="186" fontId="3" fillId="0" borderId="0" xfId="0" applyNumberFormat="1" applyFont="1" applyAlignment="1" applyProtection="1">
      <alignment horizontal="center" vertical="center"/>
      <protection/>
    </xf>
    <xf numFmtId="182" fontId="3" fillId="0" borderId="0" xfId="0" applyNumberFormat="1" applyFont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center" vertical="center"/>
      <protection locked="0"/>
    </xf>
    <xf numFmtId="187" fontId="0" fillId="0" borderId="30" xfId="0" applyNumberFormat="1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distributed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 indent="1"/>
      <protection/>
    </xf>
    <xf numFmtId="0" fontId="0" fillId="0" borderId="63" xfId="0" applyBorder="1" applyAlignment="1" applyProtection="1">
      <alignment horizontal="left" vertical="center" indent="1"/>
      <protection/>
    </xf>
    <xf numFmtId="0" fontId="0" fillId="0" borderId="46" xfId="0" applyFont="1" applyBorder="1" applyAlignment="1" applyProtection="1">
      <alignment horizontal="right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181" fontId="46" fillId="33" borderId="67" xfId="48" applyNumberFormat="1" applyFont="1" applyFill="1" applyBorder="1" applyAlignment="1" applyProtection="1">
      <alignment horizontal="center" vertical="center"/>
      <protection/>
    </xf>
    <xf numFmtId="181" fontId="46" fillId="33" borderId="68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distributed" vertical="center" indent="3"/>
      <protection/>
    </xf>
    <xf numFmtId="0" fontId="0" fillId="0" borderId="49" xfId="0" applyBorder="1" applyAlignment="1" applyProtection="1">
      <alignment horizontal="distributed" vertical="center" indent="3"/>
      <protection/>
    </xf>
    <xf numFmtId="0" fontId="0" fillId="0" borderId="50" xfId="0" applyBorder="1" applyAlignment="1" applyProtection="1">
      <alignment horizontal="distributed" vertical="center" indent="3"/>
      <protection/>
    </xf>
    <xf numFmtId="0" fontId="0" fillId="0" borderId="26" xfId="0" applyBorder="1" applyAlignment="1" applyProtection="1">
      <alignment horizontal="left" vertical="center" indent="1"/>
      <protection/>
    </xf>
    <xf numFmtId="0" fontId="0" fillId="0" borderId="25" xfId="0" applyBorder="1" applyAlignment="1" applyProtection="1">
      <alignment horizontal="left" vertical="center" indent="1"/>
      <protection/>
    </xf>
    <xf numFmtId="0" fontId="0" fillId="33" borderId="71" xfId="0" applyFill="1" applyBorder="1" applyAlignment="1" applyProtection="1">
      <alignment horizontal="distributed" vertical="center" indent="3"/>
      <protection/>
    </xf>
    <xf numFmtId="0" fontId="0" fillId="33" borderId="72" xfId="0" applyFill="1" applyBorder="1" applyAlignment="1" applyProtection="1">
      <alignment horizontal="distributed" vertical="center" indent="3"/>
      <protection/>
    </xf>
    <xf numFmtId="0" fontId="0" fillId="33" borderId="73" xfId="0" applyFill="1" applyBorder="1" applyAlignment="1" applyProtection="1">
      <alignment horizontal="distributed" vertical="center" indent="3"/>
      <protection/>
    </xf>
    <xf numFmtId="0" fontId="0" fillId="0" borderId="74" xfId="0" applyBorder="1" applyAlignment="1" applyProtection="1">
      <alignment horizontal="distributed" vertical="center" indent="3"/>
      <protection/>
    </xf>
    <xf numFmtId="181" fontId="3" fillId="0" borderId="30" xfId="0" applyNumberFormat="1" applyFont="1" applyBorder="1" applyAlignment="1" applyProtection="1">
      <alignment horizontal="left" vertical="center" indent="2"/>
      <protection/>
    </xf>
    <xf numFmtId="0" fontId="0" fillId="0" borderId="30" xfId="0" applyBorder="1" applyAlignment="1" applyProtection="1">
      <alignment horizontal="left" vertical="center" indent="2"/>
      <protection/>
    </xf>
    <xf numFmtId="187" fontId="0" fillId="0" borderId="0" xfId="0" applyNumberFormat="1" applyFont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shrinkToFit="1"/>
      <protection/>
    </xf>
    <xf numFmtId="0" fontId="0" fillId="0" borderId="75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 shrinkToFit="1"/>
      <protection/>
    </xf>
    <xf numFmtId="0" fontId="0" fillId="0" borderId="76" xfId="0" applyFont="1" applyBorder="1" applyAlignment="1" applyProtection="1">
      <alignment vertical="center"/>
      <protection/>
    </xf>
    <xf numFmtId="181" fontId="3" fillId="34" borderId="30" xfId="0" applyNumberFormat="1" applyFont="1" applyFill="1" applyBorder="1" applyAlignment="1" applyProtection="1">
      <alignment horizontal="right" vertical="center" shrinkToFit="1"/>
      <protection/>
    </xf>
    <xf numFmtId="181" fontId="3" fillId="34" borderId="46" xfId="0" applyNumberFormat="1" applyFont="1" applyFill="1" applyBorder="1" applyAlignment="1" applyProtection="1">
      <alignment horizontal="right" vertical="center" shrinkToFit="1"/>
      <protection/>
    </xf>
    <xf numFmtId="181" fontId="3" fillId="34" borderId="47" xfId="0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showGridLines="0" tabSelected="1" showOutlineSymbols="0" zoomScale="85" zoomScaleNormal="85" zoomScaleSheetLayoutView="100" workbookViewId="0" topLeftCell="A28">
      <selection activeCell="BS7" sqref="BS7"/>
    </sheetView>
  </sheetViews>
  <sheetFormatPr defaultColWidth="9.00390625" defaultRowHeight="13.5"/>
  <cols>
    <col min="1" max="56" width="1.625" style="1" customWidth="1"/>
    <col min="57" max="57" width="0.12890625" style="1" customWidth="1"/>
    <col min="58" max="58" width="10.875" style="1" hidden="1" customWidth="1"/>
    <col min="59" max="59" width="2.25390625" style="1" hidden="1" customWidth="1"/>
    <col min="60" max="60" width="16.125" style="1" hidden="1" customWidth="1"/>
    <col min="61" max="61" width="13.50390625" style="1" hidden="1" customWidth="1"/>
    <col min="62" max="62" width="19.125" style="1" hidden="1" customWidth="1"/>
    <col min="63" max="63" width="16.125" style="1" hidden="1" customWidth="1"/>
    <col min="64" max="64" width="19.75390625" style="1" hidden="1" customWidth="1"/>
    <col min="65" max="65" width="9.50390625" style="1" hidden="1" customWidth="1"/>
    <col min="66" max="66" width="20.75390625" style="1" hidden="1" customWidth="1"/>
    <col min="67" max="67" width="23.50390625" style="1" hidden="1" customWidth="1"/>
    <col min="68" max="68" width="15.875" style="1" customWidth="1"/>
    <col min="69" max="16384" width="9.00390625" style="1" customWidth="1"/>
  </cols>
  <sheetData>
    <row r="1" spans="2:67" ht="24">
      <c r="B1" s="116" t="s">
        <v>42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H1" s="136" t="s">
        <v>8</v>
      </c>
      <c r="BI1" s="136"/>
      <c r="BJ1" s="136"/>
      <c r="BK1" s="136"/>
      <c r="BL1" s="136"/>
      <c r="BM1" s="136"/>
      <c r="BN1" s="136"/>
      <c r="BO1" s="136"/>
    </row>
    <row r="2" spans="44:67" ht="14.25" thickBot="1">
      <c r="AR2" s="19"/>
      <c r="BH2" s="26"/>
      <c r="BI2" s="52"/>
      <c r="BJ2" s="26"/>
      <c r="BK2" s="26"/>
      <c r="BL2" s="26"/>
      <c r="BM2" s="26"/>
      <c r="BN2" s="26"/>
      <c r="BO2" s="26"/>
    </row>
    <row r="3" spans="2:67" ht="19.5" customHeight="1">
      <c r="B3" s="2"/>
      <c r="C3" s="119" t="s">
        <v>0</v>
      </c>
      <c r="D3" s="119"/>
      <c r="E3" s="119"/>
      <c r="F3" s="119"/>
      <c r="G3" s="119"/>
      <c r="H3" s="119"/>
      <c r="I3" s="119"/>
      <c r="J3" s="3"/>
      <c r="K3" s="4"/>
      <c r="L3" s="113">
        <v>50</v>
      </c>
      <c r="M3" s="113"/>
      <c r="N3" s="113"/>
      <c r="O3" s="113"/>
      <c r="P3" s="113"/>
      <c r="Q3" s="113"/>
      <c r="R3" s="113"/>
      <c r="S3" s="113"/>
      <c r="T3" s="5"/>
      <c r="W3" s="2"/>
      <c r="X3" s="119"/>
      <c r="Y3" s="119"/>
      <c r="Z3" s="119"/>
      <c r="AA3" s="119"/>
      <c r="AB3" s="119"/>
      <c r="AC3" s="119"/>
      <c r="AD3" s="119"/>
      <c r="AE3" s="3"/>
      <c r="AF3" s="4"/>
      <c r="AG3" s="118" t="s">
        <v>45</v>
      </c>
      <c r="AH3" s="118"/>
      <c r="AI3" s="118"/>
      <c r="AJ3" s="118"/>
      <c r="AK3" s="118"/>
      <c r="AL3" s="118"/>
      <c r="AM3" s="118"/>
      <c r="AN3" s="118"/>
      <c r="AO3" s="118"/>
      <c r="AP3" s="53"/>
      <c r="AQ3" s="2"/>
      <c r="AR3" s="118" t="s">
        <v>46</v>
      </c>
      <c r="AS3" s="118"/>
      <c r="AT3" s="118"/>
      <c r="AU3" s="118"/>
      <c r="AV3" s="118"/>
      <c r="AW3" s="118"/>
      <c r="AX3" s="118"/>
      <c r="AY3" s="118"/>
      <c r="AZ3" s="118"/>
      <c r="BA3" s="5"/>
      <c r="BF3" s="6" t="s">
        <v>29</v>
      </c>
      <c r="BH3" s="27" t="s">
        <v>9</v>
      </c>
      <c r="BI3" s="28" t="s">
        <v>2</v>
      </c>
      <c r="BJ3" s="29"/>
      <c r="BK3" s="26"/>
      <c r="BL3" s="30"/>
      <c r="BM3" s="137" t="s">
        <v>10</v>
      </c>
      <c r="BN3" s="134">
        <f>SUM(BK17,BO19)</f>
        <v>1677</v>
      </c>
      <c r="BO3" s="134"/>
    </row>
    <row r="4" spans="2:67" ht="19.5" customHeight="1" thickBot="1">
      <c r="B4" s="7"/>
      <c r="C4" s="101" t="s">
        <v>1</v>
      </c>
      <c r="D4" s="101"/>
      <c r="E4" s="101"/>
      <c r="F4" s="101"/>
      <c r="G4" s="101"/>
      <c r="H4" s="101"/>
      <c r="I4" s="101"/>
      <c r="J4" s="8"/>
      <c r="K4" s="9"/>
      <c r="L4" s="114">
        <v>524</v>
      </c>
      <c r="M4" s="114"/>
      <c r="N4" s="114"/>
      <c r="O4" s="114"/>
      <c r="P4" s="114"/>
      <c r="Q4" s="114"/>
      <c r="R4" s="114"/>
      <c r="S4" s="114"/>
      <c r="T4" s="10"/>
      <c r="W4" s="7"/>
      <c r="X4" s="101" t="s">
        <v>44</v>
      </c>
      <c r="Y4" s="101"/>
      <c r="Z4" s="101"/>
      <c r="AA4" s="101"/>
      <c r="AB4" s="101"/>
      <c r="AC4" s="101"/>
      <c r="AD4" s="101"/>
      <c r="AE4" s="8"/>
      <c r="AF4" s="9"/>
      <c r="AG4" s="117">
        <f>IF(B9="","",AT30)</f>
        <v>62557</v>
      </c>
      <c r="AH4" s="117"/>
      <c r="AI4" s="117"/>
      <c r="AJ4" s="117"/>
      <c r="AK4" s="117"/>
      <c r="AL4" s="117"/>
      <c r="AM4" s="117"/>
      <c r="AN4" s="117"/>
      <c r="AO4" s="117"/>
      <c r="AP4" s="54"/>
      <c r="AQ4" s="152"/>
      <c r="AR4" s="157">
        <f>IF(B9="","",BK41)</f>
        <v>115978</v>
      </c>
      <c r="AS4" s="157"/>
      <c r="AT4" s="157"/>
      <c r="AU4" s="157"/>
      <c r="AV4" s="157"/>
      <c r="AW4" s="157"/>
      <c r="AX4" s="157"/>
      <c r="AY4" s="157"/>
      <c r="AZ4" s="157"/>
      <c r="BA4" s="10"/>
      <c r="BF4" s="11" t="s">
        <v>30</v>
      </c>
      <c r="BH4" s="31" t="s">
        <v>1</v>
      </c>
      <c r="BI4" s="32">
        <f>'計算式'!X9</f>
        <v>10</v>
      </c>
      <c r="BJ4" s="33"/>
      <c r="BK4" s="26"/>
      <c r="BL4" s="34"/>
      <c r="BM4" s="138"/>
      <c r="BN4" s="135"/>
      <c r="BO4" s="135"/>
    </row>
    <row r="5" spans="2:67" ht="19.5" customHeight="1" thickBot="1">
      <c r="B5" s="12"/>
      <c r="C5" s="125" t="s">
        <v>31</v>
      </c>
      <c r="D5" s="125"/>
      <c r="E5" s="125"/>
      <c r="F5" s="125"/>
      <c r="G5" s="125"/>
      <c r="H5" s="125"/>
      <c r="I5" s="125"/>
      <c r="J5" s="13"/>
      <c r="K5" s="14"/>
      <c r="L5" s="123" t="s">
        <v>29</v>
      </c>
      <c r="M5" s="123"/>
      <c r="N5" s="123"/>
      <c r="O5" s="123"/>
      <c r="P5" s="123"/>
      <c r="Q5" s="123"/>
      <c r="R5" s="123"/>
      <c r="S5" s="123"/>
      <c r="T5" s="15"/>
      <c r="W5" s="16"/>
      <c r="X5" s="106" t="s">
        <v>47</v>
      </c>
      <c r="Y5" s="106"/>
      <c r="Z5" s="106"/>
      <c r="AA5" s="106"/>
      <c r="AB5" s="106"/>
      <c r="AC5" s="106"/>
      <c r="AD5" s="106"/>
      <c r="AE5" s="17"/>
      <c r="AF5" s="18"/>
      <c r="AG5" s="104">
        <f>IF(B9="","",IF(L5=BF4,0,AT46))</f>
        <v>26070</v>
      </c>
      <c r="AH5" s="104"/>
      <c r="AI5" s="104"/>
      <c r="AJ5" s="104"/>
      <c r="AK5" s="104"/>
      <c r="AL5" s="104"/>
      <c r="AM5" s="104"/>
      <c r="AN5" s="104"/>
      <c r="AO5" s="104"/>
      <c r="AP5" s="55"/>
      <c r="AQ5" s="153"/>
      <c r="AR5" s="158">
        <f>IF(B9="","",IF(L5=BF4,0,BO43))</f>
        <v>48532</v>
      </c>
      <c r="AS5" s="158"/>
      <c r="AT5" s="158"/>
      <c r="AU5" s="158"/>
      <c r="AV5" s="158"/>
      <c r="AW5" s="158"/>
      <c r="AX5" s="158"/>
      <c r="AY5" s="158"/>
      <c r="AZ5" s="158"/>
      <c r="BA5" s="154"/>
      <c r="BH5" s="29"/>
      <c r="BI5" s="35"/>
      <c r="BJ5" s="33"/>
      <c r="BK5" s="26"/>
      <c r="BL5" s="26"/>
      <c r="BM5" s="26"/>
      <c r="BN5" s="26"/>
      <c r="BO5" s="26"/>
    </row>
    <row r="6" spans="2:67" ht="19.5" customHeight="1" thickBot="1" thickTop="1">
      <c r="B6" s="19"/>
      <c r="C6" s="20"/>
      <c r="D6" s="20"/>
      <c r="E6" s="20"/>
      <c r="F6" s="20"/>
      <c r="G6" s="20"/>
      <c r="H6" s="20"/>
      <c r="I6" s="20"/>
      <c r="J6" s="19"/>
      <c r="K6" s="19"/>
      <c r="L6" s="21"/>
      <c r="M6" s="21"/>
      <c r="N6" s="21"/>
      <c r="O6" s="21"/>
      <c r="P6" s="21"/>
      <c r="Q6" s="21"/>
      <c r="R6" s="21"/>
      <c r="S6" s="21"/>
      <c r="T6" s="19"/>
      <c r="W6" s="22"/>
      <c r="X6" s="107" t="s">
        <v>48</v>
      </c>
      <c r="Y6" s="107"/>
      <c r="Z6" s="107"/>
      <c r="AA6" s="107"/>
      <c r="AB6" s="107"/>
      <c r="AC6" s="107"/>
      <c r="AD6" s="107"/>
      <c r="AE6" s="23"/>
      <c r="AF6" s="24"/>
      <c r="AG6" s="105">
        <f>IF(B9="","",SUM(AG4:AO5))</f>
        <v>88627</v>
      </c>
      <c r="AH6" s="105"/>
      <c r="AI6" s="105"/>
      <c r="AJ6" s="105"/>
      <c r="AK6" s="105"/>
      <c r="AL6" s="105"/>
      <c r="AM6" s="105"/>
      <c r="AN6" s="105"/>
      <c r="AO6" s="105"/>
      <c r="AP6" s="56"/>
      <c r="AQ6" s="155"/>
      <c r="AR6" s="159">
        <f>IF(B9="","",SUM(AR4:AZ5))</f>
        <v>164510</v>
      </c>
      <c r="AS6" s="159"/>
      <c r="AT6" s="159"/>
      <c r="AU6" s="159"/>
      <c r="AV6" s="159"/>
      <c r="AW6" s="159"/>
      <c r="AX6" s="159"/>
      <c r="AY6" s="159"/>
      <c r="AZ6" s="159"/>
      <c r="BA6" s="156"/>
      <c r="BH6" s="139" t="s">
        <v>11</v>
      </c>
      <c r="BI6" s="139"/>
      <c r="BJ6" s="139"/>
      <c r="BK6" s="139"/>
      <c r="BL6" s="26"/>
      <c r="BM6" s="139" t="s">
        <v>12</v>
      </c>
      <c r="BN6" s="139"/>
      <c r="BO6" s="139"/>
    </row>
    <row r="7" spans="43:67" ht="14.25" thickBot="1"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H7" s="36"/>
      <c r="BI7" s="126" t="s">
        <v>13</v>
      </c>
      <c r="BJ7" s="127"/>
      <c r="BK7" s="38" t="s">
        <v>14</v>
      </c>
      <c r="BL7" s="26"/>
      <c r="BM7" s="36"/>
      <c r="BN7" s="37" t="s">
        <v>13</v>
      </c>
      <c r="BO7" s="38" t="s">
        <v>14</v>
      </c>
    </row>
    <row r="8" spans="2:67" ht="29.25" customHeight="1">
      <c r="B8" s="109" t="s">
        <v>32</v>
      </c>
      <c r="C8" s="109"/>
      <c r="D8" s="109"/>
      <c r="E8" s="109"/>
      <c r="F8" s="109"/>
      <c r="G8" s="109"/>
      <c r="H8" s="109"/>
      <c r="I8" s="109"/>
      <c r="J8" s="109"/>
      <c r="K8" s="109"/>
      <c r="N8" s="109" t="s">
        <v>0</v>
      </c>
      <c r="O8" s="109"/>
      <c r="P8" s="109"/>
      <c r="Q8" s="109"/>
      <c r="R8" s="109"/>
      <c r="S8" s="109"/>
      <c r="T8" s="109"/>
      <c r="X8" s="108" t="s">
        <v>33</v>
      </c>
      <c r="Y8" s="109"/>
      <c r="Z8" s="109"/>
      <c r="AA8" s="109"/>
      <c r="AB8" s="109"/>
      <c r="AC8" s="109"/>
      <c r="AD8" s="109"/>
      <c r="AE8" s="109"/>
      <c r="AI8" s="109" t="s">
        <v>36</v>
      </c>
      <c r="AJ8" s="109"/>
      <c r="AK8" s="109"/>
      <c r="AL8" s="109"/>
      <c r="AM8" s="109"/>
      <c r="AN8" s="109"/>
      <c r="AO8" s="109"/>
      <c r="AP8" s="109"/>
      <c r="BH8" s="39" t="s">
        <v>15</v>
      </c>
      <c r="BI8" s="128" t="s">
        <v>62</v>
      </c>
      <c r="BJ8" s="129"/>
      <c r="BK8" s="41">
        <f>IF(BI4="","",525)</f>
        <v>525</v>
      </c>
      <c r="BL8" s="26"/>
      <c r="BM8" s="39" t="s">
        <v>15</v>
      </c>
      <c r="BN8" s="40" t="s">
        <v>64</v>
      </c>
      <c r="BO8" s="41">
        <f>IF(OR(BI3="",BI4=""),0,225)</f>
        <v>225</v>
      </c>
    </row>
    <row r="9" spans="2:67" ht="26.25" customHeight="1">
      <c r="B9" s="122">
        <f>IF(OR($L$3="",$L$4="",$L$5=""),"",L4)</f>
        <v>524</v>
      </c>
      <c r="C9" s="122"/>
      <c r="D9" s="122"/>
      <c r="E9" s="122"/>
      <c r="F9" s="122"/>
      <c r="G9" s="122"/>
      <c r="H9" s="122"/>
      <c r="I9" s="122"/>
      <c r="J9" s="122"/>
      <c r="K9" s="83" t="s">
        <v>37</v>
      </c>
      <c r="L9" s="83"/>
      <c r="M9" s="83"/>
      <c r="N9" s="121">
        <f>IF(OR($L$3="",$L$4="",$L$5=""),"",L3)</f>
        <v>50</v>
      </c>
      <c r="O9" s="121"/>
      <c r="P9" s="121"/>
      <c r="Q9" s="121"/>
      <c r="R9" s="121"/>
      <c r="S9" s="121"/>
      <c r="T9" s="121"/>
      <c r="U9" s="115" t="s">
        <v>38</v>
      </c>
      <c r="V9" s="83"/>
      <c r="W9" s="83"/>
      <c r="X9" s="87">
        <f>IF(B9="","",ROUNDDOWN(B9/N9,0))</f>
        <v>10</v>
      </c>
      <c r="Y9" s="87"/>
      <c r="Z9" s="87"/>
      <c r="AA9" s="87"/>
      <c r="AB9" s="87"/>
      <c r="AC9" s="87"/>
      <c r="AD9" s="87"/>
      <c r="AE9" s="87"/>
      <c r="AF9" s="83" t="str">
        <f>IF(X9="","","・・・")</f>
        <v>・・・</v>
      </c>
      <c r="AG9" s="83"/>
      <c r="AH9" s="83"/>
      <c r="AI9" s="87">
        <f>IF(B9="","",IF(B9-(N9*X9)=0,"0",B9-(N9*X9)))</f>
        <v>24</v>
      </c>
      <c r="AJ9" s="87"/>
      <c r="AK9" s="87"/>
      <c r="AL9" s="87"/>
      <c r="AM9" s="87"/>
      <c r="AN9" s="87"/>
      <c r="AO9" s="87"/>
      <c r="AP9" s="87"/>
      <c r="BH9" s="131" t="s">
        <v>15</v>
      </c>
      <c r="BI9" s="128" t="s">
        <v>63</v>
      </c>
      <c r="BJ9" s="129"/>
      <c r="BK9" s="43">
        <f>IF(OR(BI3="",BI4="",BI4&lt;=5),0,IF(BI4&gt;10,550,(BI4-5)*110))</f>
        <v>550</v>
      </c>
      <c r="BL9" s="26"/>
      <c r="BM9" s="69" t="s">
        <v>5</v>
      </c>
      <c r="BN9" s="42" t="s">
        <v>65</v>
      </c>
      <c r="BO9" s="43">
        <f>IF(OR(BI3="",BI4&lt;=5),0,IF(BI4&gt;10,225,(BI4-5)*45))</f>
        <v>225</v>
      </c>
    </row>
    <row r="10" spans="60:67" ht="19.5" customHeight="1">
      <c r="BH10" s="132"/>
      <c r="BI10" s="72" t="s">
        <v>27</v>
      </c>
      <c r="BJ10" s="73"/>
      <c r="BK10" s="43">
        <f>IF(OR(BI3="",BI4="",BI4&lt;=10),0,IF(BI4&gt;30,2600,(BI4-10)*130))</f>
        <v>0</v>
      </c>
      <c r="BL10" s="26"/>
      <c r="BM10" s="70"/>
      <c r="BN10" s="42" t="s">
        <v>66</v>
      </c>
      <c r="BO10" s="43">
        <f>IF(OR(BI3="",BI4&lt;=10),0,IF(BI4&gt;20,500,(BI4-10)*50))</f>
        <v>0</v>
      </c>
    </row>
    <row r="11" spans="2:67" ht="18.75">
      <c r="B11" s="9"/>
      <c r="C11" s="124">
        <f>IF(B9="","",X9)</f>
        <v>10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8"/>
      <c r="P11" s="9"/>
      <c r="Q11" s="120">
        <f>IF(B9="","",BK15)</f>
        <v>1075</v>
      </c>
      <c r="R11" s="120"/>
      <c r="S11" s="120"/>
      <c r="T11" s="120"/>
      <c r="U11" s="120"/>
      <c r="V11" s="120"/>
      <c r="W11" s="120"/>
      <c r="X11" s="120"/>
      <c r="Y11" s="8"/>
      <c r="AA11" s="47" t="s">
        <v>58</v>
      </c>
      <c r="BH11" s="132"/>
      <c r="BI11" s="72" t="s">
        <v>16</v>
      </c>
      <c r="BJ11" s="73"/>
      <c r="BK11" s="43">
        <f>IF(OR(BI3="",BI4="",BI4&lt;=30),0,IF(BI4&gt;50,3000,(BI4-30)*150))</f>
        <v>0</v>
      </c>
      <c r="BL11" s="26"/>
      <c r="BM11" s="70"/>
      <c r="BN11" s="42" t="s">
        <v>17</v>
      </c>
      <c r="BO11" s="43">
        <f>IF(OR(BI3="",BI4&lt;=20),0,IF(BI4&gt;30,610,(BI4-20)*61))</f>
        <v>0</v>
      </c>
    </row>
    <row r="12" spans="2:67" ht="18.75">
      <c r="B12" s="9"/>
      <c r="C12" s="80">
        <f>IF(B9="","",X9)</f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"/>
      <c r="P12" s="9"/>
      <c r="Q12" s="81">
        <f>IF(B9="","",BO17)</f>
        <v>450</v>
      </c>
      <c r="R12" s="81"/>
      <c r="S12" s="81"/>
      <c r="T12" s="81"/>
      <c r="U12" s="81"/>
      <c r="V12" s="81"/>
      <c r="W12" s="81"/>
      <c r="X12" s="81"/>
      <c r="Y12" s="8"/>
      <c r="AA12" s="47" t="s">
        <v>59</v>
      </c>
      <c r="BH12" s="132"/>
      <c r="BI12" s="72" t="s">
        <v>18</v>
      </c>
      <c r="BJ12" s="73"/>
      <c r="BK12" s="43">
        <f>IF(OR(BI3="",BI4="",BI4&lt;=50),0,IF(BI4&gt;100,9000,(BI4-50)*180))</f>
        <v>0</v>
      </c>
      <c r="BL12" s="26"/>
      <c r="BM12" s="70"/>
      <c r="BN12" s="42" t="s">
        <v>16</v>
      </c>
      <c r="BO12" s="43">
        <f>IF(OR(BI3="",BI4="",BI4&lt;=30),0,IF(BI4&gt;50,1400,(BI4-30)*70))</f>
        <v>0</v>
      </c>
    </row>
    <row r="13" spans="2:67" ht="19.5" customHeight="1">
      <c r="B13" s="130" t="s">
        <v>50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BH13" s="132"/>
      <c r="BI13" s="72" t="s">
        <v>19</v>
      </c>
      <c r="BJ13" s="73"/>
      <c r="BK13" s="43">
        <f>IF(OR(BI3="",BI4="",BI4&lt;=100),0,IF(BI4&gt;500,84000,(BI4-100)*210))</f>
        <v>0</v>
      </c>
      <c r="BL13" s="26"/>
      <c r="BM13" s="70"/>
      <c r="BN13" s="42" t="s">
        <v>51</v>
      </c>
      <c r="BO13" s="43">
        <f>IF(OR(BI3="",BI4="",BI4&lt;=50),0,IF(BI4&gt;200,12000,(BI4-50)*80))</f>
        <v>0</v>
      </c>
    </row>
    <row r="14" spans="60:67" ht="14.25" customHeight="1" thickBot="1">
      <c r="BH14" s="133"/>
      <c r="BI14" s="143" t="s">
        <v>21</v>
      </c>
      <c r="BJ14" s="144"/>
      <c r="BK14" s="45">
        <f>IF(OR(BI3="",BI4="",BI4&lt;=500),0,(BI4-500)*240)</f>
        <v>0</v>
      </c>
      <c r="BL14" s="26"/>
      <c r="BM14" s="70"/>
      <c r="BN14" s="44" t="s">
        <v>52</v>
      </c>
      <c r="BO14" s="43">
        <f>IF(OR(BI3="",BI4="",BI4&lt;=200),0,IF(BI4&gt;1000,72000,(BI4-200)*90))</f>
        <v>0</v>
      </c>
    </row>
    <row r="15" spans="2:67" ht="19.5" customHeight="1" thickBot="1" thickTop="1">
      <c r="B15" s="1" t="s">
        <v>3</v>
      </c>
      <c r="BH15" s="141" t="s">
        <v>22</v>
      </c>
      <c r="BI15" s="148"/>
      <c r="BJ15" s="142"/>
      <c r="BK15" s="57">
        <f>SUM(BK8:BK14)</f>
        <v>1075</v>
      </c>
      <c r="BL15" s="26"/>
      <c r="BM15" s="70"/>
      <c r="BN15" s="42" t="s">
        <v>53</v>
      </c>
      <c r="BO15" s="49">
        <f>IF(OR(BI3="",BI4="",BI4&lt;=1000),0,IF(BI4&gt;5000,412000,(BI4-1000)*103))</f>
        <v>0</v>
      </c>
    </row>
    <row r="16" spans="2:67" ht="19.5" customHeight="1" thickBot="1">
      <c r="B16" s="99" t="s">
        <v>34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H16" s="145" t="s">
        <v>69</v>
      </c>
      <c r="BI16" s="146"/>
      <c r="BJ16" s="147"/>
      <c r="BK16" s="63">
        <f>ROUNDDOWN(BK15*0.1,0)</f>
        <v>107</v>
      </c>
      <c r="BL16" s="26"/>
      <c r="BM16" s="71"/>
      <c r="BN16" s="48" t="s">
        <v>54</v>
      </c>
      <c r="BO16" s="45">
        <f>IF(OR(BI3="",BI4="",BI4&lt;=5000),0,(BI4-5000)*130)</f>
        <v>0</v>
      </c>
    </row>
    <row r="17" spans="2:67" ht="19.5" customHeight="1" thickBot="1" thickTop="1">
      <c r="B17" s="99" t="s">
        <v>49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H17" s="97" t="s">
        <v>23</v>
      </c>
      <c r="BI17" s="140"/>
      <c r="BJ17" s="98"/>
      <c r="BK17" s="64">
        <f>SUM(BK15:BK16)</f>
        <v>1182</v>
      </c>
      <c r="BL17" s="26"/>
      <c r="BM17" s="141" t="s">
        <v>22</v>
      </c>
      <c r="BN17" s="142"/>
      <c r="BO17" s="58">
        <f>SUM(BO8:BO16)</f>
        <v>450</v>
      </c>
    </row>
    <row r="18" spans="2:67" ht="19.5" customHeight="1" thickBot="1">
      <c r="B18" s="47" t="s">
        <v>55</v>
      </c>
      <c r="N18" s="110">
        <f>IF($B$9="","",ROUNDUP($B$9/$N$9,0))</f>
        <v>11</v>
      </c>
      <c r="O18" s="110"/>
      <c r="P18" s="110"/>
      <c r="Q18" s="110"/>
      <c r="R18" s="110"/>
      <c r="S18" s="110"/>
      <c r="T18" s="110"/>
      <c r="U18" s="110"/>
      <c r="V18" s="110"/>
      <c r="BH18" s="26"/>
      <c r="BI18" s="26"/>
      <c r="BJ18" s="26"/>
      <c r="BK18" s="26"/>
      <c r="BL18" s="26"/>
      <c r="BM18" s="95" t="s">
        <v>69</v>
      </c>
      <c r="BN18" s="96"/>
      <c r="BO18" s="65">
        <f>ROUNDDOWN(BO17*0.1,0)</f>
        <v>45</v>
      </c>
    </row>
    <row r="19" spans="2:67" ht="19.5" customHeight="1" thickBot="1" thickTop="1">
      <c r="B19" s="9"/>
      <c r="C19" s="101" t="s">
        <v>4</v>
      </c>
      <c r="D19" s="101"/>
      <c r="E19" s="101"/>
      <c r="F19" s="101"/>
      <c r="G19" s="102"/>
      <c r="H19" s="102"/>
      <c r="I19" s="102"/>
      <c r="J19" s="102"/>
      <c r="K19" s="102"/>
      <c r="L19" s="102"/>
      <c r="M19" s="8"/>
      <c r="N19" s="9"/>
      <c r="O19" s="90" t="s">
        <v>5</v>
      </c>
      <c r="P19" s="90"/>
      <c r="Q19" s="90"/>
      <c r="R19" s="90"/>
      <c r="S19" s="90"/>
      <c r="T19" s="25"/>
      <c r="U19" s="25"/>
      <c r="V19" s="8"/>
      <c r="BH19" s="46" t="s">
        <v>2</v>
      </c>
      <c r="BI19" s="26"/>
      <c r="BJ19" s="26"/>
      <c r="BK19" s="26"/>
      <c r="BL19" s="26"/>
      <c r="BM19" s="97" t="s">
        <v>67</v>
      </c>
      <c r="BN19" s="98"/>
      <c r="BO19" s="66">
        <f>SUM(BO17:BO18)</f>
        <v>495</v>
      </c>
    </row>
    <row r="20" spans="1:67" ht="19.5" customHeight="1">
      <c r="A20" s="51">
        <f aca="true" t="shared" si="0" ref="A20:A26">IF(W20="","",1)</f>
      </c>
      <c r="B20" s="9"/>
      <c r="C20" s="82">
        <v>0</v>
      </c>
      <c r="D20" s="82"/>
      <c r="E20" s="82"/>
      <c r="F20" s="82"/>
      <c r="G20" s="90" t="s">
        <v>43</v>
      </c>
      <c r="H20" s="90"/>
      <c r="I20" s="94">
        <v>5</v>
      </c>
      <c r="J20" s="94"/>
      <c r="K20" s="94"/>
      <c r="L20" s="94"/>
      <c r="M20" s="8"/>
      <c r="N20" s="9"/>
      <c r="O20" s="149">
        <v>0</v>
      </c>
      <c r="P20" s="149"/>
      <c r="Q20" s="149"/>
      <c r="R20" s="149"/>
      <c r="S20" s="149"/>
      <c r="T20" s="150"/>
      <c r="U20" s="150"/>
      <c r="V20" s="8"/>
      <c r="W20" s="78">
        <f>IF($B$9="","",IF($N$18&lt;=5,"←あまりの料金区分",""))</f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H20" s="46" t="s">
        <v>24</v>
      </c>
      <c r="BI20" s="26"/>
      <c r="BJ20" s="26"/>
      <c r="BK20" s="26"/>
      <c r="BL20" s="26"/>
      <c r="BM20" s="26"/>
      <c r="BN20" s="26"/>
      <c r="BO20" s="26"/>
    </row>
    <row r="21" spans="1:67" ht="19.5" customHeight="1">
      <c r="A21" s="51">
        <f t="shared" si="0"/>
      </c>
      <c r="B21" s="9"/>
      <c r="C21" s="82">
        <v>6</v>
      </c>
      <c r="D21" s="82"/>
      <c r="E21" s="82"/>
      <c r="F21" s="82"/>
      <c r="G21" s="90" t="s">
        <v>43</v>
      </c>
      <c r="H21" s="90"/>
      <c r="I21" s="94">
        <v>10</v>
      </c>
      <c r="J21" s="94"/>
      <c r="K21" s="94"/>
      <c r="L21" s="94"/>
      <c r="M21" s="8"/>
      <c r="N21" s="9"/>
      <c r="O21" s="81">
        <v>110</v>
      </c>
      <c r="P21" s="81"/>
      <c r="Q21" s="81"/>
      <c r="R21" s="81"/>
      <c r="S21" s="81"/>
      <c r="T21" s="89"/>
      <c r="U21" s="89"/>
      <c r="V21" s="8"/>
      <c r="W21" s="78">
        <f>IF($B$9="","",IF(AND(6&lt;=$N$18,$N$18&lt;=10),"←あまりの料金区分",""))</f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H21" s="46" t="s">
        <v>25</v>
      </c>
      <c r="BI21" s="26"/>
      <c r="BJ21" s="26"/>
      <c r="BK21" s="26"/>
      <c r="BL21" s="26"/>
      <c r="BM21" s="26"/>
      <c r="BN21" s="26"/>
      <c r="BO21" s="26"/>
    </row>
    <row r="22" spans="1:67" ht="19.5" customHeight="1">
      <c r="A22" s="51">
        <f t="shared" si="0"/>
        <v>1</v>
      </c>
      <c r="B22" s="9"/>
      <c r="C22" s="82">
        <v>11</v>
      </c>
      <c r="D22" s="82"/>
      <c r="E22" s="82"/>
      <c r="F22" s="82"/>
      <c r="G22" s="90" t="s">
        <v>43</v>
      </c>
      <c r="H22" s="90"/>
      <c r="I22" s="94">
        <v>30</v>
      </c>
      <c r="J22" s="94"/>
      <c r="K22" s="94"/>
      <c r="L22" s="94"/>
      <c r="M22" s="8"/>
      <c r="N22" s="9"/>
      <c r="O22" s="81">
        <v>130</v>
      </c>
      <c r="P22" s="81"/>
      <c r="Q22" s="81"/>
      <c r="R22" s="81"/>
      <c r="S22" s="81"/>
      <c r="T22" s="89"/>
      <c r="U22" s="89"/>
      <c r="V22" s="8"/>
      <c r="W22" s="78" t="str">
        <f>IF($B$9="","",IF(AND(11&lt;=$N$18,$N$18&lt;=30),"←あまりの料金区分",""))</f>
        <v>←あまりの料金区分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H22" s="46" t="s">
        <v>26</v>
      </c>
      <c r="BI22" s="26"/>
      <c r="BJ22" s="26"/>
      <c r="BK22" s="26"/>
      <c r="BL22" s="26"/>
      <c r="BM22" s="26"/>
      <c r="BN22" s="26"/>
      <c r="BO22" s="26"/>
    </row>
    <row r="23" spans="1:67" ht="19.5" customHeight="1">
      <c r="A23" s="51">
        <f t="shared" si="0"/>
      </c>
      <c r="B23" s="9"/>
      <c r="C23" s="82">
        <v>31</v>
      </c>
      <c r="D23" s="82"/>
      <c r="E23" s="82"/>
      <c r="F23" s="82"/>
      <c r="G23" s="90" t="s">
        <v>43</v>
      </c>
      <c r="H23" s="90"/>
      <c r="I23" s="94">
        <v>50</v>
      </c>
      <c r="J23" s="94"/>
      <c r="K23" s="94"/>
      <c r="L23" s="94"/>
      <c r="M23" s="8"/>
      <c r="N23" s="9"/>
      <c r="O23" s="81">
        <v>150</v>
      </c>
      <c r="P23" s="81"/>
      <c r="Q23" s="81"/>
      <c r="R23" s="81"/>
      <c r="S23" s="81"/>
      <c r="T23" s="89"/>
      <c r="U23" s="89"/>
      <c r="V23" s="8"/>
      <c r="W23" s="78">
        <f>IF($B$9="","",IF(AND(31&lt;=$N$18,$N$18&lt;=50),"←あまりの料金区分",""))</f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H23" s="26"/>
      <c r="BI23" s="26"/>
      <c r="BJ23" s="26"/>
      <c r="BK23" s="26"/>
      <c r="BL23" s="50"/>
      <c r="BM23" s="26"/>
      <c r="BN23" s="26"/>
      <c r="BO23" s="26"/>
    </row>
    <row r="24" spans="1:67" ht="19.5" customHeight="1">
      <c r="A24" s="51">
        <f t="shared" si="0"/>
      </c>
      <c r="B24" s="9"/>
      <c r="C24" s="82">
        <v>51</v>
      </c>
      <c r="D24" s="82"/>
      <c r="E24" s="82"/>
      <c r="F24" s="82"/>
      <c r="G24" s="90" t="s">
        <v>43</v>
      </c>
      <c r="H24" s="90"/>
      <c r="I24" s="94">
        <v>100</v>
      </c>
      <c r="J24" s="94"/>
      <c r="K24" s="94"/>
      <c r="L24" s="94"/>
      <c r="M24" s="8"/>
      <c r="N24" s="9"/>
      <c r="O24" s="81">
        <v>180</v>
      </c>
      <c r="P24" s="81"/>
      <c r="Q24" s="81"/>
      <c r="R24" s="81"/>
      <c r="S24" s="81"/>
      <c r="T24" s="89"/>
      <c r="U24" s="89"/>
      <c r="V24" s="8"/>
      <c r="W24" s="78">
        <f>IF($B$9="","",IF(AND(51&lt;=$N$18,$N$18&lt;=100),"←あまりの料金区分",""))</f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H24" s="50" t="s">
        <v>8</v>
      </c>
      <c r="BI24" s="50"/>
      <c r="BJ24" s="50"/>
      <c r="BK24" s="50"/>
      <c r="BL24" s="26"/>
      <c r="BM24" s="50"/>
      <c r="BN24" s="50"/>
      <c r="BO24" s="50"/>
    </row>
    <row r="25" spans="1:67" ht="19.5" thickBot="1">
      <c r="A25" s="51">
        <f t="shared" si="0"/>
      </c>
      <c r="B25" s="9"/>
      <c r="C25" s="82">
        <v>101</v>
      </c>
      <c r="D25" s="82"/>
      <c r="E25" s="82"/>
      <c r="F25" s="82"/>
      <c r="G25" s="90" t="s">
        <v>43</v>
      </c>
      <c r="H25" s="90"/>
      <c r="I25" s="94">
        <v>500</v>
      </c>
      <c r="J25" s="94"/>
      <c r="K25" s="94"/>
      <c r="L25" s="94"/>
      <c r="M25" s="8"/>
      <c r="N25" s="9"/>
      <c r="O25" s="81">
        <v>210</v>
      </c>
      <c r="P25" s="81"/>
      <c r="Q25" s="81"/>
      <c r="R25" s="81"/>
      <c r="S25" s="81"/>
      <c r="T25" s="89"/>
      <c r="U25" s="89"/>
      <c r="V25" s="8"/>
      <c r="W25" s="78">
        <f>IF($B$9="","",IF(AND(101&lt;=$N$18,$N$18&lt;=500),"←あまりの料金区分",""))</f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H25" s="26"/>
      <c r="BI25" s="26"/>
      <c r="BJ25" s="26"/>
      <c r="BK25" s="26"/>
      <c r="BL25" s="30"/>
      <c r="BM25" s="26"/>
      <c r="BN25" s="26"/>
      <c r="BO25" s="26"/>
    </row>
    <row r="26" spans="1:67" ht="19.5" customHeight="1">
      <c r="A26" s="51">
        <f t="shared" si="0"/>
      </c>
      <c r="B26" s="9"/>
      <c r="C26" s="111" t="s">
        <v>61</v>
      </c>
      <c r="D26" s="112"/>
      <c r="E26" s="112"/>
      <c r="F26" s="112"/>
      <c r="G26" s="112"/>
      <c r="H26" s="112"/>
      <c r="I26" s="112"/>
      <c r="J26" s="112"/>
      <c r="K26" s="112"/>
      <c r="L26" s="112"/>
      <c r="M26" s="8"/>
      <c r="N26" s="9"/>
      <c r="O26" s="81">
        <v>240</v>
      </c>
      <c r="P26" s="81"/>
      <c r="Q26" s="81"/>
      <c r="R26" s="81"/>
      <c r="S26" s="81"/>
      <c r="T26" s="89"/>
      <c r="U26" s="89"/>
      <c r="V26" s="8"/>
      <c r="W26" s="78">
        <f>IF($B$9="","",IF(N18&gt;=501,"←あまりの料金区分",""))</f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H26" s="27" t="s">
        <v>9</v>
      </c>
      <c r="BI26" s="28" t="s">
        <v>2</v>
      </c>
      <c r="BJ26" s="29"/>
      <c r="BK26" s="26"/>
      <c r="BL26" s="34"/>
      <c r="BM26" s="137" t="s">
        <v>10</v>
      </c>
      <c r="BN26" s="134">
        <f>SUM(BK41,BO43)</f>
        <v>164510</v>
      </c>
      <c r="BO26" s="134"/>
    </row>
    <row r="27" spans="2:67" ht="19.5" customHeight="1" thickBot="1">
      <c r="B27" s="83" t="s">
        <v>7</v>
      </c>
      <c r="C27" s="83"/>
      <c r="D27" s="83"/>
      <c r="E27" s="83"/>
      <c r="F27" s="83"/>
      <c r="G27" s="83"/>
      <c r="H27" s="83"/>
      <c r="I27" s="83"/>
      <c r="J27" s="83"/>
      <c r="K27" s="83"/>
      <c r="O27" s="83" t="s">
        <v>35</v>
      </c>
      <c r="P27" s="83"/>
      <c r="Q27" s="83"/>
      <c r="R27" s="83"/>
      <c r="S27" s="83"/>
      <c r="T27" s="83"/>
      <c r="U27" s="83"/>
      <c r="V27" s="83"/>
      <c r="Z27" s="83" t="s">
        <v>6</v>
      </c>
      <c r="AA27" s="83"/>
      <c r="AB27" s="83"/>
      <c r="AC27" s="83"/>
      <c r="AD27" s="83"/>
      <c r="AE27" s="83"/>
      <c r="AF27" s="83"/>
      <c r="AG27" s="83"/>
      <c r="AM27" s="83"/>
      <c r="AN27" s="83"/>
      <c r="AO27" s="83"/>
      <c r="AP27" s="83"/>
      <c r="AQ27" s="83"/>
      <c r="BH27" s="31" t="s">
        <v>1</v>
      </c>
      <c r="BI27" s="32">
        <f>L4</f>
        <v>524</v>
      </c>
      <c r="BJ27" s="33"/>
      <c r="BK27" s="26"/>
      <c r="BL27" s="26"/>
      <c r="BM27" s="138"/>
      <c r="BN27" s="135"/>
      <c r="BO27" s="135"/>
    </row>
    <row r="28" spans="2:67" ht="18.75">
      <c r="B28" s="85">
        <f>VLOOKUP(1,A20:V26,15)</f>
        <v>130</v>
      </c>
      <c r="C28" s="85"/>
      <c r="D28" s="85"/>
      <c r="E28" s="85"/>
      <c r="F28" s="85"/>
      <c r="G28" s="85"/>
      <c r="H28" s="85"/>
      <c r="I28" s="85"/>
      <c r="J28" s="85"/>
      <c r="K28" s="85"/>
      <c r="L28" s="83" t="s">
        <v>39</v>
      </c>
      <c r="M28" s="83"/>
      <c r="N28" s="83"/>
      <c r="O28" s="87">
        <f>IF(B9="","",IF(AI9="",0,AI9))</f>
        <v>24</v>
      </c>
      <c r="P28" s="87"/>
      <c r="Q28" s="87"/>
      <c r="R28" s="87"/>
      <c r="S28" s="87"/>
      <c r="T28" s="87"/>
      <c r="U28" s="87"/>
      <c r="V28" s="87"/>
      <c r="W28" s="83" t="s">
        <v>40</v>
      </c>
      <c r="X28" s="83"/>
      <c r="Y28" s="83"/>
      <c r="Z28" s="88">
        <f>IF(B9="","",B28*O28)</f>
        <v>3120</v>
      </c>
      <c r="AA28" s="88"/>
      <c r="AB28" s="88"/>
      <c r="AC28" s="88"/>
      <c r="AD28" s="88"/>
      <c r="AE28" s="88"/>
      <c r="AF28" s="88"/>
      <c r="AG28" s="88"/>
      <c r="BH28" s="29"/>
      <c r="BI28" s="35"/>
      <c r="BJ28" s="33"/>
      <c r="BK28" s="26"/>
      <c r="BL28" s="26"/>
      <c r="BM28" s="26"/>
      <c r="BN28" s="26"/>
      <c r="BO28" s="26"/>
    </row>
    <row r="29" spans="2:67" ht="19.5" customHeight="1" thickBot="1">
      <c r="B29" s="151">
        <f>C11</f>
        <v>10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Q29" s="83" t="s">
        <v>0</v>
      </c>
      <c r="R29" s="83"/>
      <c r="S29" s="83"/>
      <c r="T29" s="83"/>
      <c r="U29" s="83"/>
      <c r="V29" s="83"/>
      <c r="Z29" s="83" t="s">
        <v>6</v>
      </c>
      <c r="AA29" s="83"/>
      <c r="AB29" s="83"/>
      <c r="AC29" s="83"/>
      <c r="AD29" s="83"/>
      <c r="AE29" s="83"/>
      <c r="AF29" s="83"/>
      <c r="AJ29" s="86" t="s">
        <v>68</v>
      </c>
      <c r="AK29" s="83"/>
      <c r="AL29" s="83"/>
      <c r="AM29" s="83"/>
      <c r="AN29" s="83"/>
      <c r="AO29" s="83"/>
      <c r="AP29" s="83"/>
      <c r="AT29" s="99" t="s">
        <v>28</v>
      </c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H29" s="139" t="s">
        <v>11</v>
      </c>
      <c r="BI29" s="139"/>
      <c r="BJ29" s="139"/>
      <c r="BK29" s="139"/>
      <c r="BL29" s="26"/>
      <c r="BM29" s="139" t="s">
        <v>12</v>
      </c>
      <c r="BN29" s="139"/>
      <c r="BO29" s="139"/>
    </row>
    <row r="30" spans="2:67" ht="19.5" customHeight="1" thickBot="1">
      <c r="B30" s="88">
        <f>IF(B9="","",Q11)</f>
        <v>1075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3" t="s">
        <v>39</v>
      </c>
      <c r="O30" s="83"/>
      <c r="P30" s="83"/>
      <c r="Q30" s="92">
        <f>IF(B9="","",L3)</f>
        <v>50</v>
      </c>
      <c r="R30" s="92"/>
      <c r="S30" s="92"/>
      <c r="T30" s="92"/>
      <c r="U30" s="92"/>
      <c r="V30" s="92"/>
      <c r="W30" s="83" t="s">
        <v>41</v>
      </c>
      <c r="X30" s="83"/>
      <c r="Y30" s="83"/>
      <c r="Z30" s="84">
        <f>IF(B9="","",Z28)</f>
        <v>3120</v>
      </c>
      <c r="AA30" s="84"/>
      <c r="AB30" s="84"/>
      <c r="AC30" s="84"/>
      <c r="AD30" s="84"/>
      <c r="AE30" s="84"/>
      <c r="AF30" s="84"/>
      <c r="AG30" s="83" t="s">
        <v>41</v>
      </c>
      <c r="AH30" s="83"/>
      <c r="AI30" s="83"/>
      <c r="AJ30" s="84">
        <f>IF(B9="","",ROUNDDOWN((B30*Q30+Z30)*0.1,0))</f>
        <v>5687</v>
      </c>
      <c r="AK30" s="84"/>
      <c r="AL30" s="84"/>
      <c r="AM30" s="84"/>
      <c r="AN30" s="84"/>
      <c r="AO30" s="84"/>
      <c r="AP30" s="84"/>
      <c r="AQ30" s="83" t="s">
        <v>40</v>
      </c>
      <c r="AR30" s="83"/>
      <c r="AS30" s="83"/>
      <c r="AT30" s="100">
        <f>IF(B9="","",B30*Q30+Z30+AJ30)</f>
        <v>62557</v>
      </c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H30" s="36"/>
      <c r="BI30" s="126" t="s">
        <v>13</v>
      </c>
      <c r="BJ30" s="127"/>
      <c r="BK30" s="38" t="s">
        <v>14</v>
      </c>
      <c r="BL30" s="26"/>
      <c r="BM30" s="36"/>
      <c r="BN30" s="37" t="s">
        <v>13</v>
      </c>
      <c r="BO30" s="38" t="s">
        <v>14</v>
      </c>
    </row>
    <row r="31" spans="60:67" ht="14.25" customHeight="1">
      <c r="BH31" s="39" t="s">
        <v>15</v>
      </c>
      <c r="BI31" s="128" t="s">
        <v>62</v>
      </c>
      <c r="BJ31" s="129"/>
      <c r="BK31" s="41">
        <f>IF(BI27="","",525)</f>
        <v>525</v>
      </c>
      <c r="BL31" s="26"/>
      <c r="BM31" s="39" t="s">
        <v>15</v>
      </c>
      <c r="BN31" s="40" t="s">
        <v>64</v>
      </c>
      <c r="BO31" s="41">
        <f>IF(OR(BI26="",BI27=""),0,225)</f>
        <v>225</v>
      </c>
    </row>
    <row r="32" spans="2:67" ht="14.25" customHeight="1">
      <c r="B32" s="47" t="s">
        <v>56</v>
      </c>
      <c r="BH32" s="131" t="s">
        <v>5</v>
      </c>
      <c r="BI32" s="128" t="s">
        <v>63</v>
      </c>
      <c r="BJ32" s="129"/>
      <c r="BK32" s="43">
        <f>IF(OR(BI26="",BI27="",BI27&lt;=5),0,IF(BI27&gt;10,550,(BI27-5)*110))</f>
        <v>550</v>
      </c>
      <c r="BL32" s="26"/>
      <c r="BM32" s="69" t="s">
        <v>5</v>
      </c>
      <c r="BN32" s="42" t="s">
        <v>65</v>
      </c>
      <c r="BO32" s="43">
        <f>IF(OR(BI26="",BI27&lt;=5),0,IF(BI27&gt;10,225,(BI27-5)*45))</f>
        <v>225</v>
      </c>
    </row>
    <row r="33" spans="1:67" ht="15" customHeight="1">
      <c r="A33" s="51"/>
      <c r="B33" s="9"/>
      <c r="C33" s="101" t="s">
        <v>4</v>
      </c>
      <c r="D33" s="101"/>
      <c r="E33" s="101"/>
      <c r="F33" s="101"/>
      <c r="G33" s="102"/>
      <c r="H33" s="102"/>
      <c r="I33" s="102"/>
      <c r="J33" s="102"/>
      <c r="K33" s="102"/>
      <c r="L33" s="102"/>
      <c r="M33" s="8"/>
      <c r="N33" s="9"/>
      <c r="O33" s="90" t="s">
        <v>5</v>
      </c>
      <c r="P33" s="90"/>
      <c r="Q33" s="90"/>
      <c r="R33" s="90"/>
      <c r="S33" s="90"/>
      <c r="T33" s="25"/>
      <c r="U33" s="25"/>
      <c r="V33" s="8"/>
      <c r="BH33" s="132"/>
      <c r="BI33" s="72" t="s">
        <v>27</v>
      </c>
      <c r="BJ33" s="73"/>
      <c r="BK33" s="43">
        <f>IF(OR(BI26="",BI27="",BI27&lt;=10),0,IF(BI27&gt;30,2600,(BI27-10)*130))</f>
        <v>2600</v>
      </c>
      <c r="BL33" s="26"/>
      <c r="BM33" s="70"/>
      <c r="BN33" s="42" t="s">
        <v>66</v>
      </c>
      <c r="BO33" s="43">
        <f>IF(OR(BI26="",BI27&lt;=10),0,IF(BI27&gt;20,500,(BI27-10)*50))</f>
        <v>500</v>
      </c>
    </row>
    <row r="34" spans="1:67" ht="18.75">
      <c r="A34" s="51">
        <f>IF(W34="","",1)</f>
      </c>
      <c r="B34" s="9"/>
      <c r="C34" s="82">
        <v>0</v>
      </c>
      <c r="D34" s="82"/>
      <c r="E34" s="82"/>
      <c r="F34" s="82"/>
      <c r="G34" s="90" t="s">
        <v>43</v>
      </c>
      <c r="H34" s="90"/>
      <c r="I34" s="94">
        <v>5</v>
      </c>
      <c r="J34" s="94"/>
      <c r="K34" s="94"/>
      <c r="L34" s="94"/>
      <c r="M34" s="8"/>
      <c r="N34" s="9"/>
      <c r="O34" s="81">
        <v>0</v>
      </c>
      <c r="P34" s="81"/>
      <c r="Q34" s="81"/>
      <c r="R34" s="81"/>
      <c r="S34" s="81"/>
      <c r="T34" s="89"/>
      <c r="U34" s="89"/>
      <c r="V34" s="8"/>
      <c r="W34" s="78">
        <f>IF($B$9="","",IF($N$18&lt;=10,"←あまりの料金区分",""))</f>
      </c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H34" s="132"/>
      <c r="BI34" s="72" t="s">
        <v>16</v>
      </c>
      <c r="BJ34" s="73"/>
      <c r="BK34" s="43">
        <f>IF(OR(BI26="",BI27="",BI27&lt;=30),0,IF(BI27&gt;50,3000,(BI27-30)*150))</f>
        <v>3000</v>
      </c>
      <c r="BL34" s="26"/>
      <c r="BM34" s="70"/>
      <c r="BN34" s="42" t="s">
        <v>17</v>
      </c>
      <c r="BO34" s="43">
        <f>IF(OR(BI26="",BI27&lt;=20),0,IF(BI27&gt;30,610,(BI27-20)*61))</f>
        <v>610</v>
      </c>
    </row>
    <row r="35" spans="1:67" ht="18.75">
      <c r="A35" s="51">
        <f aca="true" t="shared" si="1" ref="A35:A42">IF(W35="","",1)</f>
      </c>
      <c r="B35" s="9"/>
      <c r="C35" s="82">
        <v>6</v>
      </c>
      <c r="D35" s="82"/>
      <c r="E35" s="82"/>
      <c r="F35" s="82"/>
      <c r="G35" s="90" t="s">
        <v>43</v>
      </c>
      <c r="H35" s="90"/>
      <c r="I35" s="94">
        <v>10</v>
      </c>
      <c r="J35" s="94"/>
      <c r="K35" s="94"/>
      <c r="L35" s="94"/>
      <c r="M35" s="8"/>
      <c r="N35" s="9"/>
      <c r="O35" s="81">
        <v>45</v>
      </c>
      <c r="P35" s="81"/>
      <c r="Q35" s="81"/>
      <c r="R35" s="81"/>
      <c r="S35" s="81"/>
      <c r="T35" s="89"/>
      <c r="U35" s="89"/>
      <c r="V35" s="8"/>
      <c r="W35" s="78">
        <f>IF($B$9="","",IF(AND(6&lt;=$N$18,$N$18&lt;=10),"←あまりの料金区分",""))</f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H35" s="132"/>
      <c r="BI35" s="72" t="s">
        <v>18</v>
      </c>
      <c r="BJ35" s="73"/>
      <c r="BK35" s="43">
        <f>IF(OR(BI26="",BI27="",BI27&lt;=50),0,IF(BI27&gt;100,9000,(BI27-50)*180))</f>
        <v>9000</v>
      </c>
      <c r="BL35" s="26"/>
      <c r="BM35" s="70"/>
      <c r="BN35" s="42" t="s">
        <v>16</v>
      </c>
      <c r="BO35" s="43">
        <f>IF(OR(BI26="",BI27="",BI27&lt;=30),0,IF(BI27&gt;50,1400,(BI27-30)*70))</f>
        <v>1400</v>
      </c>
    </row>
    <row r="36" spans="1:67" ht="18.75">
      <c r="A36" s="51">
        <f t="shared" si="1"/>
        <v>1</v>
      </c>
      <c r="B36" s="9"/>
      <c r="C36" s="82">
        <v>11</v>
      </c>
      <c r="D36" s="82"/>
      <c r="E36" s="82"/>
      <c r="F36" s="82"/>
      <c r="G36" s="90" t="s">
        <v>43</v>
      </c>
      <c r="H36" s="90"/>
      <c r="I36" s="94">
        <v>20</v>
      </c>
      <c r="J36" s="94"/>
      <c r="K36" s="94"/>
      <c r="L36" s="94"/>
      <c r="M36" s="8"/>
      <c r="N36" s="9"/>
      <c r="O36" s="81">
        <v>50</v>
      </c>
      <c r="P36" s="81"/>
      <c r="Q36" s="81"/>
      <c r="R36" s="81"/>
      <c r="S36" s="81"/>
      <c r="T36" s="89"/>
      <c r="U36" s="89"/>
      <c r="V36" s="8"/>
      <c r="W36" s="78" t="str">
        <f>IF($B$9="","",IF(AND(11&lt;=$N$18,$N$18&lt;=20),"←あまりの料金区分",""))</f>
        <v>←あまりの料金区分</v>
      </c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H36" s="132"/>
      <c r="BI36" s="72" t="s">
        <v>19</v>
      </c>
      <c r="BJ36" s="73"/>
      <c r="BK36" s="43">
        <f>IF(OR(BI26="",BI27="",BI27&lt;=100),0,IF(BI27&gt;500,84000,(BI27-100)*210))</f>
        <v>84000</v>
      </c>
      <c r="BL36" s="26"/>
      <c r="BM36" s="70"/>
      <c r="BN36" s="42" t="s">
        <v>20</v>
      </c>
      <c r="BO36" s="43">
        <f>IF(OR(BI26="",BI27="",BI27&lt;=50),0,IF(BI27&gt;200,12000,(BI27-50)*80))</f>
        <v>12000</v>
      </c>
    </row>
    <row r="37" spans="1:67" ht="18.75">
      <c r="A37" s="51">
        <f t="shared" si="1"/>
      </c>
      <c r="B37" s="9"/>
      <c r="C37" s="82">
        <v>21</v>
      </c>
      <c r="D37" s="82"/>
      <c r="E37" s="82"/>
      <c r="F37" s="82"/>
      <c r="G37" s="90" t="s">
        <v>43</v>
      </c>
      <c r="H37" s="90"/>
      <c r="I37" s="94">
        <v>30</v>
      </c>
      <c r="J37" s="94"/>
      <c r="K37" s="94"/>
      <c r="L37" s="94"/>
      <c r="M37" s="8"/>
      <c r="N37" s="9"/>
      <c r="O37" s="81">
        <v>61</v>
      </c>
      <c r="P37" s="81"/>
      <c r="Q37" s="81"/>
      <c r="R37" s="81"/>
      <c r="S37" s="81"/>
      <c r="T37" s="89"/>
      <c r="U37" s="89"/>
      <c r="V37" s="8"/>
      <c r="W37" s="78">
        <f>IF($B$9="","",IF(AND(21&lt;=$N$18,$N$18&lt;=30),"←あまりの料金区分",""))</f>
      </c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H37" s="132"/>
      <c r="BI37" s="143" t="s">
        <v>21</v>
      </c>
      <c r="BJ37" s="144"/>
      <c r="BK37" s="45">
        <f>IF(OR(BI26="",BI27="",BI27&lt;=500),0,(BI27-500)*240)</f>
        <v>5760</v>
      </c>
      <c r="BL37" s="26"/>
      <c r="BM37" s="70"/>
      <c r="BN37" s="44" t="s">
        <v>52</v>
      </c>
      <c r="BO37" s="43">
        <f>IF(OR(BI26="",BI27="",BI27&lt;=200),0,IF(BI27&gt;1000,72000,(BI27-200)*90))</f>
        <v>29160</v>
      </c>
    </row>
    <row r="38" spans="1:67" ht="19.5" thickBot="1">
      <c r="A38" s="51">
        <f t="shared" si="1"/>
      </c>
      <c r="B38" s="9"/>
      <c r="C38" s="82">
        <v>31</v>
      </c>
      <c r="D38" s="82"/>
      <c r="E38" s="82"/>
      <c r="F38" s="82"/>
      <c r="G38" s="90" t="s">
        <v>43</v>
      </c>
      <c r="H38" s="90"/>
      <c r="I38" s="94">
        <v>50</v>
      </c>
      <c r="J38" s="94"/>
      <c r="K38" s="94"/>
      <c r="L38" s="94"/>
      <c r="M38" s="8"/>
      <c r="N38" s="9"/>
      <c r="O38" s="81">
        <v>70</v>
      </c>
      <c r="P38" s="81"/>
      <c r="Q38" s="81"/>
      <c r="R38" s="81"/>
      <c r="S38" s="81"/>
      <c r="T38" s="89"/>
      <c r="U38" s="89"/>
      <c r="V38" s="8"/>
      <c r="W38" s="78">
        <f>IF($B$9="","",IF(AND(31&lt;=$N$18,$N$18&lt;=50),"←あまりの料金区分",""))</f>
      </c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H38" s="133"/>
      <c r="BI38" s="143"/>
      <c r="BJ38" s="144"/>
      <c r="BK38" s="45"/>
      <c r="BL38" s="26"/>
      <c r="BM38" s="70"/>
      <c r="BN38" s="42" t="s">
        <v>53</v>
      </c>
      <c r="BO38" s="49">
        <f>IF(OR(BI26="",BI27="",BI27&lt;=1000),0,IF(BI27&gt;5000,412000,(BI27-1000)*103))</f>
        <v>0</v>
      </c>
    </row>
    <row r="39" spans="1:67" ht="20.25" thickBot="1" thickTop="1">
      <c r="A39" s="51">
        <f t="shared" si="1"/>
      </c>
      <c r="B39" s="9"/>
      <c r="C39" s="82">
        <v>51</v>
      </c>
      <c r="D39" s="82"/>
      <c r="E39" s="82"/>
      <c r="F39" s="82"/>
      <c r="G39" s="90" t="s">
        <v>43</v>
      </c>
      <c r="H39" s="90"/>
      <c r="I39" s="94">
        <v>200</v>
      </c>
      <c r="J39" s="94"/>
      <c r="K39" s="94"/>
      <c r="L39" s="94"/>
      <c r="M39" s="8"/>
      <c r="N39" s="9"/>
      <c r="O39" s="81">
        <v>80</v>
      </c>
      <c r="P39" s="81"/>
      <c r="Q39" s="81"/>
      <c r="R39" s="81"/>
      <c r="S39" s="81"/>
      <c r="T39" s="89"/>
      <c r="U39" s="89"/>
      <c r="V39" s="8"/>
      <c r="W39" s="78">
        <f>IF($B$9="","",IF(AND(51&lt;=$N$18,$N$18&lt;=200),"←あまりの料金区分",""))</f>
      </c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H39" s="141" t="s">
        <v>22</v>
      </c>
      <c r="BI39" s="148"/>
      <c r="BJ39" s="142"/>
      <c r="BK39" s="57">
        <f>SUM(BK31:BK38)</f>
        <v>105435</v>
      </c>
      <c r="BL39" s="26"/>
      <c r="BM39" s="70"/>
      <c r="BN39" s="48" t="s">
        <v>54</v>
      </c>
      <c r="BO39" s="45">
        <f>IF(OR(BI26="",BI27="",BI27&lt;=5000),0,(BI27-5000)*130)</f>
        <v>0</v>
      </c>
    </row>
    <row r="40" spans="1:67" ht="20.25" thickBot="1" thickTop="1">
      <c r="A40" s="51">
        <f t="shared" si="1"/>
      </c>
      <c r="B40" s="9"/>
      <c r="C40" s="82">
        <v>201</v>
      </c>
      <c r="D40" s="82"/>
      <c r="E40" s="82"/>
      <c r="F40" s="82"/>
      <c r="G40" s="90" t="s">
        <v>43</v>
      </c>
      <c r="H40" s="90"/>
      <c r="I40" s="74">
        <v>1000</v>
      </c>
      <c r="J40" s="74"/>
      <c r="K40" s="74"/>
      <c r="L40" s="74"/>
      <c r="M40" s="75"/>
      <c r="N40" s="9"/>
      <c r="O40" s="81">
        <v>90</v>
      </c>
      <c r="P40" s="81"/>
      <c r="Q40" s="81"/>
      <c r="R40" s="81"/>
      <c r="S40" s="81"/>
      <c r="T40" s="89"/>
      <c r="U40" s="89"/>
      <c r="V40" s="8"/>
      <c r="W40" s="78">
        <f>IF($B$9="","",IF(AND(201&lt;=$N$18,$N$18&lt;=1000),"←あまりの料金区分",""))</f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H40" s="145" t="s">
        <v>69</v>
      </c>
      <c r="BI40" s="146"/>
      <c r="BJ40" s="147"/>
      <c r="BK40" s="63">
        <f>ROUNDDOWN(BK39*0.1,0)</f>
        <v>10543</v>
      </c>
      <c r="BL40" s="26"/>
      <c r="BM40" s="71"/>
      <c r="BN40" s="48"/>
      <c r="BO40" s="45"/>
    </row>
    <row r="41" spans="1:67" ht="20.25" thickBot="1" thickTop="1">
      <c r="A41" s="51">
        <f t="shared" si="1"/>
      </c>
      <c r="B41" s="76">
        <v>1001</v>
      </c>
      <c r="C41" s="77"/>
      <c r="D41" s="77"/>
      <c r="E41" s="77"/>
      <c r="F41" s="77"/>
      <c r="G41" s="90" t="s">
        <v>43</v>
      </c>
      <c r="H41" s="90"/>
      <c r="I41" s="74">
        <v>5000</v>
      </c>
      <c r="J41" s="74"/>
      <c r="K41" s="74"/>
      <c r="L41" s="74"/>
      <c r="M41" s="75"/>
      <c r="N41" s="9"/>
      <c r="O41" s="81">
        <v>103</v>
      </c>
      <c r="P41" s="81"/>
      <c r="Q41" s="81"/>
      <c r="R41" s="81"/>
      <c r="S41" s="81"/>
      <c r="T41" s="89"/>
      <c r="U41" s="89"/>
      <c r="V41" s="8"/>
      <c r="W41" s="78">
        <f>IF($B$9="","",IF(AND(1001&lt;=$N$18,$N$18&lt;=5000),"←あまりの料金区分",""))</f>
      </c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H41" s="97" t="s">
        <v>23</v>
      </c>
      <c r="BI41" s="140"/>
      <c r="BJ41" s="98"/>
      <c r="BK41" s="64">
        <f>SUM(BK39:BK40)</f>
        <v>115978</v>
      </c>
      <c r="BL41" s="26"/>
      <c r="BM41" s="59" t="s">
        <v>22</v>
      </c>
      <c r="BN41" s="60"/>
      <c r="BO41" s="57">
        <f>SUM(BO31:BO40)</f>
        <v>44120</v>
      </c>
    </row>
    <row r="42" spans="1:67" ht="19.5" thickBot="1">
      <c r="A42" s="51">
        <f t="shared" si="1"/>
      </c>
      <c r="B42" s="9"/>
      <c r="C42" s="91" t="s">
        <v>57</v>
      </c>
      <c r="D42" s="90"/>
      <c r="E42" s="90"/>
      <c r="F42" s="90"/>
      <c r="G42" s="90"/>
      <c r="H42" s="90"/>
      <c r="I42" s="90"/>
      <c r="J42" s="90"/>
      <c r="K42" s="90"/>
      <c r="L42" s="90"/>
      <c r="M42" s="8"/>
      <c r="N42" s="9"/>
      <c r="O42" s="81">
        <v>130</v>
      </c>
      <c r="P42" s="81"/>
      <c r="Q42" s="81"/>
      <c r="R42" s="81"/>
      <c r="S42" s="81"/>
      <c r="T42" s="89"/>
      <c r="U42" s="89"/>
      <c r="V42" s="8"/>
      <c r="W42" s="78">
        <f>IF($B$9="","",IF(N33&gt;=5001,"←あまりの料金区分",""))</f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H42" s="26"/>
      <c r="BI42" s="26"/>
      <c r="BJ42" s="26"/>
      <c r="BK42" s="26"/>
      <c r="BL42" s="26"/>
      <c r="BM42" s="67" t="s">
        <v>69</v>
      </c>
      <c r="BN42" s="68"/>
      <c r="BO42" s="63">
        <f>ROUNDDOWN(BO41*0.1,0)</f>
        <v>4412</v>
      </c>
    </row>
    <row r="43" spans="2:67" ht="15" thickBot="1" thickTop="1">
      <c r="B43" s="83" t="s">
        <v>7</v>
      </c>
      <c r="C43" s="83"/>
      <c r="D43" s="83"/>
      <c r="E43" s="83"/>
      <c r="F43" s="83"/>
      <c r="G43" s="83"/>
      <c r="H43" s="83"/>
      <c r="I43" s="83"/>
      <c r="J43" s="83"/>
      <c r="K43" s="83"/>
      <c r="O43" s="83" t="s">
        <v>35</v>
      </c>
      <c r="P43" s="83"/>
      <c r="Q43" s="83"/>
      <c r="R43" s="83"/>
      <c r="S43" s="83"/>
      <c r="T43" s="83"/>
      <c r="U43" s="83"/>
      <c r="V43" s="83"/>
      <c r="Z43" s="83" t="s">
        <v>6</v>
      </c>
      <c r="AA43" s="83"/>
      <c r="AB43" s="83"/>
      <c r="AC43" s="83"/>
      <c r="AD43" s="83"/>
      <c r="AE43" s="83"/>
      <c r="AF43" s="83"/>
      <c r="AG43" s="83"/>
      <c r="BH43" s="26"/>
      <c r="BI43" s="26"/>
      <c r="BJ43" s="26"/>
      <c r="BK43" s="26"/>
      <c r="BL43" s="26"/>
      <c r="BM43" s="61" t="s">
        <v>23</v>
      </c>
      <c r="BN43" s="62"/>
      <c r="BO43" s="64">
        <f>SUM(BO41:BO42)</f>
        <v>48532</v>
      </c>
    </row>
    <row r="44" spans="2:66" ht="18.75">
      <c r="B44" s="85">
        <f>VLOOKUP(1,A34:V42,15)</f>
        <v>50</v>
      </c>
      <c r="C44" s="85"/>
      <c r="D44" s="85"/>
      <c r="E44" s="85"/>
      <c r="F44" s="85"/>
      <c r="G44" s="85"/>
      <c r="H44" s="85"/>
      <c r="I44" s="85"/>
      <c r="J44" s="85"/>
      <c r="K44" s="85"/>
      <c r="L44" s="83" t="s">
        <v>39</v>
      </c>
      <c r="M44" s="83"/>
      <c r="N44" s="83"/>
      <c r="O44" s="87">
        <f>IF(B9="","",IF(AI9="",0,AI9))</f>
        <v>24</v>
      </c>
      <c r="P44" s="87"/>
      <c r="Q44" s="87"/>
      <c r="R44" s="87"/>
      <c r="S44" s="87"/>
      <c r="T44" s="87"/>
      <c r="U44" s="87"/>
      <c r="V44" s="87"/>
      <c r="W44" s="83" t="s">
        <v>38</v>
      </c>
      <c r="X44" s="83"/>
      <c r="Y44" s="83"/>
      <c r="Z44" s="88">
        <f>IF(ISERROR(B44*O44),"",B44*O44)</f>
        <v>1200</v>
      </c>
      <c r="AA44" s="88"/>
      <c r="AB44" s="88"/>
      <c r="AC44" s="88"/>
      <c r="AD44" s="88"/>
      <c r="AE44" s="88"/>
      <c r="AF44" s="88"/>
      <c r="AG44" s="88"/>
      <c r="BH44" s="26"/>
      <c r="BI44" s="26"/>
      <c r="BJ44" s="26"/>
      <c r="BK44" s="26"/>
      <c r="BL44" s="26"/>
      <c r="BM44" s="26"/>
      <c r="BN44" s="26"/>
    </row>
    <row r="45" spans="2:66" ht="13.5">
      <c r="B45" s="93">
        <f>C12</f>
        <v>10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Q45" s="83" t="s">
        <v>0</v>
      </c>
      <c r="R45" s="83"/>
      <c r="S45" s="83"/>
      <c r="T45" s="83"/>
      <c r="U45" s="83"/>
      <c r="V45" s="83"/>
      <c r="Z45" s="83" t="s">
        <v>6</v>
      </c>
      <c r="AA45" s="83"/>
      <c r="AB45" s="83"/>
      <c r="AC45" s="83"/>
      <c r="AD45" s="83"/>
      <c r="AE45" s="83"/>
      <c r="AF45" s="83"/>
      <c r="AJ45" s="86" t="s">
        <v>68</v>
      </c>
      <c r="AK45" s="83"/>
      <c r="AL45" s="83"/>
      <c r="AM45" s="83"/>
      <c r="AN45" s="83"/>
      <c r="AO45" s="83"/>
      <c r="AP45" s="83"/>
      <c r="AT45" s="86" t="s">
        <v>60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H45" s="26"/>
      <c r="BI45" s="26"/>
      <c r="BJ45" s="26"/>
      <c r="BK45" s="26"/>
      <c r="BL45" s="26"/>
      <c r="BM45" s="26"/>
      <c r="BN45" s="26"/>
    </row>
    <row r="46" spans="2:66" ht="18.75">
      <c r="B46" s="88">
        <f>Q12</f>
        <v>450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3" t="s">
        <v>39</v>
      </c>
      <c r="O46" s="83"/>
      <c r="P46" s="83"/>
      <c r="Q46" s="92">
        <f>IF(B9="","",L3)</f>
        <v>50</v>
      </c>
      <c r="R46" s="92"/>
      <c r="S46" s="92"/>
      <c r="T46" s="92"/>
      <c r="U46" s="92"/>
      <c r="V46" s="92"/>
      <c r="W46" s="83" t="s">
        <v>41</v>
      </c>
      <c r="X46" s="83"/>
      <c r="Y46" s="83"/>
      <c r="Z46" s="84">
        <f>IF(B9="","",Z44)</f>
        <v>1200</v>
      </c>
      <c r="AA46" s="84"/>
      <c r="AB46" s="84"/>
      <c r="AC46" s="84"/>
      <c r="AD46" s="84"/>
      <c r="AE46" s="84"/>
      <c r="AF46" s="84"/>
      <c r="AG46" s="83" t="s">
        <v>41</v>
      </c>
      <c r="AH46" s="83"/>
      <c r="AI46" s="83"/>
      <c r="AJ46" s="84">
        <f>IF(B9="","",ROUNDDOWN((B46*Q46+Z46)*0.1,0))</f>
        <v>2370</v>
      </c>
      <c r="AK46" s="84"/>
      <c r="AL46" s="84"/>
      <c r="AM46" s="84"/>
      <c r="AN46" s="84"/>
      <c r="AO46" s="84"/>
      <c r="AP46" s="84"/>
      <c r="AQ46" s="83" t="s">
        <v>38</v>
      </c>
      <c r="AR46" s="83"/>
      <c r="AS46" s="83"/>
      <c r="AT46" s="88">
        <f>IF(B9="","",B46*Q46+Z46+AJ46)</f>
        <v>26070</v>
      </c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H46" s="26"/>
      <c r="BI46" s="26"/>
      <c r="BJ46" s="26"/>
      <c r="BK46" s="26"/>
      <c r="BM46" s="26"/>
      <c r="BN46" s="26"/>
    </row>
  </sheetData>
  <sheetProtection selectLockedCells="1"/>
  <mergeCells count="203">
    <mergeCell ref="BH16:BJ16"/>
    <mergeCell ref="C19:L19"/>
    <mergeCell ref="C24:F24"/>
    <mergeCell ref="BI11:BJ11"/>
    <mergeCell ref="B16:BE16"/>
    <mergeCell ref="C36:F36"/>
    <mergeCell ref="G36:H36"/>
    <mergeCell ref="I36:L36"/>
    <mergeCell ref="O36:U36"/>
    <mergeCell ref="W36:BE36"/>
    <mergeCell ref="BH39:BJ39"/>
    <mergeCell ref="BI33:BJ33"/>
    <mergeCell ref="BI34:BJ34"/>
    <mergeCell ref="BI30:BJ30"/>
    <mergeCell ref="BI32:BJ32"/>
    <mergeCell ref="O21:U21"/>
    <mergeCell ref="W21:BE21"/>
    <mergeCell ref="O25:U25"/>
    <mergeCell ref="BI31:BJ31"/>
    <mergeCell ref="Z29:AF29"/>
    <mergeCell ref="BH32:BH38"/>
    <mergeCell ref="O20:U20"/>
    <mergeCell ref="W20:BE20"/>
    <mergeCell ref="I23:L23"/>
    <mergeCell ref="B29:M29"/>
    <mergeCell ref="Q29:V29"/>
    <mergeCell ref="I25:L25"/>
    <mergeCell ref="AJ29:AP29"/>
    <mergeCell ref="O24:U24"/>
    <mergeCell ref="I22:L22"/>
    <mergeCell ref="BI14:BJ14"/>
    <mergeCell ref="BH41:BJ41"/>
    <mergeCell ref="BH40:BJ40"/>
    <mergeCell ref="BH15:BJ15"/>
    <mergeCell ref="BM26:BM27"/>
    <mergeCell ref="BM29:BO29"/>
    <mergeCell ref="BI35:BJ35"/>
    <mergeCell ref="BI37:BJ37"/>
    <mergeCell ref="BI38:BJ38"/>
    <mergeCell ref="BH29:BK29"/>
    <mergeCell ref="BH9:BH14"/>
    <mergeCell ref="BN26:BO27"/>
    <mergeCell ref="BH1:BO1"/>
    <mergeCell ref="BM3:BM4"/>
    <mergeCell ref="BN3:BO4"/>
    <mergeCell ref="BH6:BK6"/>
    <mergeCell ref="BM6:BO6"/>
    <mergeCell ref="BH17:BJ17"/>
    <mergeCell ref="BM17:BN17"/>
    <mergeCell ref="BI12:BJ12"/>
    <mergeCell ref="C5:I5"/>
    <mergeCell ref="BI7:BJ7"/>
    <mergeCell ref="BI9:BJ9"/>
    <mergeCell ref="X9:AE9"/>
    <mergeCell ref="AF9:AH9"/>
    <mergeCell ref="B13:Y13"/>
    <mergeCell ref="BI10:BJ10"/>
    <mergeCell ref="BI13:BJ13"/>
    <mergeCell ref="AI9:AP9"/>
    <mergeCell ref="BI8:BJ8"/>
    <mergeCell ref="C4:I4"/>
    <mergeCell ref="B17:BE17"/>
    <mergeCell ref="Q11:X11"/>
    <mergeCell ref="K9:M9"/>
    <mergeCell ref="N9:T9"/>
    <mergeCell ref="B9:J9"/>
    <mergeCell ref="L5:S5"/>
    <mergeCell ref="AI8:AP8"/>
    <mergeCell ref="B8:K8"/>
    <mergeCell ref="C11:N11"/>
    <mergeCell ref="L4:S4"/>
    <mergeCell ref="U9:W9"/>
    <mergeCell ref="B1:BE1"/>
    <mergeCell ref="X4:AD4"/>
    <mergeCell ref="AG4:AO4"/>
    <mergeCell ref="AR4:AZ4"/>
    <mergeCell ref="AG3:AO3"/>
    <mergeCell ref="AR3:AZ3"/>
    <mergeCell ref="X3:AD3"/>
    <mergeCell ref="C3:I3"/>
    <mergeCell ref="O26:U26"/>
    <mergeCell ref="L3:S3"/>
    <mergeCell ref="N8:T8"/>
    <mergeCell ref="I21:L21"/>
    <mergeCell ref="G21:H21"/>
    <mergeCell ref="C21:F21"/>
    <mergeCell ref="I20:L20"/>
    <mergeCell ref="G20:H20"/>
    <mergeCell ref="O19:S19"/>
    <mergeCell ref="C20:F20"/>
    <mergeCell ref="N18:V18"/>
    <mergeCell ref="G22:H22"/>
    <mergeCell ref="O23:U23"/>
    <mergeCell ref="C26:L26"/>
    <mergeCell ref="W22:BE22"/>
    <mergeCell ref="W23:BE23"/>
    <mergeCell ref="W24:BE24"/>
    <mergeCell ref="W25:BE25"/>
    <mergeCell ref="W26:BE26"/>
    <mergeCell ref="G23:H23"/>
    <mergeCell ref="AG5:AO5"/>
    <mergeCell ref="AR5:AZ5"/>
    <mergeCell ref="AG6:AO6"/>
    <mergeCell ref="AR6:AZ6"/>
    <mergeCell ref="X5:AD5"/>
    <mergeCell ref="C25:F25"/>
    <mergeCell ref="G24:H24"/>
    <mergeCell ref="I24:L24"/>
    <mergeCell ref="G25:H25"/>
    <mergeCell ref="X6:AD6"/>
    <mergeCell ref="W34:BE34"/>
    <mergeCell ref="O33:S33"/>
    <mergeCell ref="C34:F34"/>
    <mergeCell ref="G34:H34"/>
    <mergeCell ref="I34:L34"/>
    <mergeCell ref="AQ7:BA7"/>
    <mergeCell ref="O22:U22"/>
    <mergeCell ref="X8:AE8"/>
    <mergeCell ref="C23:F23"/>
    <mergeCell ref="C22:F22"/>
    <mergeCell ref="C33:L33"/>
    <mergeCell ref="O27:V27"/>
    <mergeCell ref="Z27:AG27"/>
    <mergeCell ref="B28:K28"/>
    <mergeCell ref="L28:N28"/>
    <mergeCell ref="O28:V28"/>
    <mergeCell ref="B27:K27"/>
    <mergeCell ref="B30:M30"/>
    <mergeCell ref="N30:P30"/>
    <mergeCell ref="Z30:AF30"/>
    <mergeCell ref="AG30:AI30"/>
    <mergeCell ref="AJ30:AP30"/>
    <mergeCell ref="AQ30:AS30"/>
    <mergeCell ref="O34:U34"/>
    <mergeCell ref="BM18:BN18"/>
    <mergeCell ref="BM19:BN19"/>
    <mergeCell ref="Q30:V30"/>
    <mergeCell ref="W30:Y30"/>
    <mergeCell ref="AT29:BE29"/>
    <mergeCell ref="AT30:BE30"/>
    <mergeCell ref="W28:Y28"/>
    <mergeCell ref="Z28:AG28"/>
    <mergeCell ref="AM27:AQ27"/>
    <mergeCell ref="I35:L35"/>
    <mergeCell ref="O35:U35"/>
    <mergeCell ref="W35:BE35"/>
    <mergeCell ref="C37:F37"/>
    <mergeCell ref="G37:H37"/>
    <mergeCell ref="I37:L37"/>
    <mergeCell ref="O37:U37"/>
    <mergeCell ref="W37:BE37"/>
    <mergeCell ref="C35:F35"/>
    <mergeCell ref="G35:H35"/>
    <mergeCell ref="Q45:V45"/>
    <mergeCell ref="Z45:AF45"/>
    <mergeCell ref="G38:H38"/>
    <mergeCell ref="I38:L38"/>
    <mergeCell ref="O38:U38"/>
    <mergeCell ref="W38:BE38"/>
    <mergeCell ref="O39:U39"/>
    <mergeCell ref="W39:BE39"/>
    <mergeCell ref="G39:H39"/>
    <mergeCell ref="I39:L39"/>
    <mergeCell ref="C40:F40"/>
    <mergeCell ref="G40:H40"/>
    <mergeCell ref="AT45:BE45"/>
    <mergeCell ref="B46:M46"/>
    <mergeCell ref="N46:P46"/>
    <mergeCell ref="Q46:V46"/>
    <mergeCell ref="W46:Y46"/>
    <mergeCell ref="Z46:AF46"/>
    <mergeCell ref="AT46:BE46"/>
    <mergeCell ref="B45:M45"/>
    <mergeCell ref="W44:Y44"/>
    <mergeCell ref="Z44:AG44"/>
    <mergeCell ref="C38:F38"/>
    <mergeCell ref="O40:U40"/>
    <mergeCell ref="G41:H41"/>
    <mergeCell ref="C42:L42"/>
    <mergeCell ref="O42:U42"/>
    <mergeCell ref="W40:BE40"/>
    <mergeCell ref="O41:U41"/>
    <mergeCell ref="W42:BE42"/>
    <mergeCell ref="AG46:AI46"/>
    <mergeCell ref="AJ46:AP46"/>
    <mergeCell ref="AQ46:AS46"/>
    <mergeCell ref="Z43:AG43"/>
    <mergeCell ref="B44:K44"/>
    <mergeCell ref="AJ45:AP45"/>
    <mergeCell ref="L44:N44"/>
    <mergeCell ref="B43:K43"/>
    <mergeCell ref="O43:V43"/>
    <mergeCell ref="O44:V44"/>
    <mergeCell ref="BM9:BM16"/>
    <mergeCell ref="BM32:BM40"/>
    <mergeCell ref="BI36:BJ36"/>
    <mergeCell ref="I40:M40"/>
    <mergeCell ref="I41:M41"/>
    <mergeCell ref="B41:F41"/>
    <mergeCell ref="W41:BE41"/>
    <mergeCell ref="C12:N12"/>
    <mergeCell ref="Q12:X12"/>
    <mergeCell ref="C39:F39"/>
  </mergeCells>
  <conditionalFormatting sqref="B20:V20">
    <cfRule type="expression" priority="17" dxfId="10" stopIfTrue="1">
      <formula>$N$18&lt;=5</formula>
    </cfRule>
  </conditionalFormatting>
  <conditionalFormatting sqref="B21:V21">
    <cfRule type="expression" priority="16" dxfId="10" stopIfTrue="1">
      <formula>AND($N$18&gt;=6,$N$18&lt;=10)</formula>
    </cfRule>
  </conditionalFormatting>
  <conditionalFormatting sqref="B22:V22">
    <cfRule type="expression" priority="15" dxfId="14" stopIfTrue="1">
      <formula>AND($N$18&gt;=11,$N$18&lt;=30)</formula>
    </cfRule>
  </conditionalFormatting>
  <conditionalFormatting sqref="B23:V23">
    <cfRule type="expression" priority="14" dxfId="10" stopIfTrue="1">
      <formula>AND($N$18&gt;=31,$N$18&lt;=50)</formula>
    </cfRule>
  </conditionalFormatting>
  <conditionalFormatting sqref="B24:V24">
    <cfRule type="expression" priority="13" dxfId="10" stopIfTrue="1">
      <formula>AND($N$18&gt;=51,$N$18&lt;=100)</formula>
    </cfRule>
  </conditionalFormatting>
  <conditionalFormatting sqref="B25:V25">
    <cfRule type="expression" priority="12" dxfId="10" stopIfTrue="1">
      <formula>AND($N$18&gt;=101,$N$18&lt;=500)</formula>
    </cfRule>
  </conditionalFormatting>
  <conditionalFormatting sqref="B26:V26">
    <cfRule type="expression" priority="11" dxfId="10" stopIfTrue="1">
      <formula>$N$18&gt;=501</formula>
    </cfRule>
  </conditionalFormatting>
  <conditionalFormatting sqref="B34:V34">
    <cfRule type="expression" priority="10" dxfId="2" stopIfTrue="1">
      <formula>$N$18&lt;=10</formula>
    </cfRule>
  </conditionalFormatting>
  <conditionalFormatting sqref="B35:V36">
    <cfRule type="expression" priority="9" dxfId="2" stopIfTrue="1">
      <formula>AND($N$18&gt;=11,$N$18&lt;=20)</formula>
    </cfRule>
  </conditionalFormatting>
  <conditionalFormatting sqref="B37:V37">
    <cfRule type="expression" priority="8" dxfId="2" stopIfTrue="1">
      <formula>AND($N$18&gt;=21,$N$18&lt;=30)</formula>
    </cfRule>
  </conditionalFormatting>
  <conditionalFormatting sqref="B38:V38">
    <cfRule type="expression" priority="7" dxfId="2" stopIfTrue="1">
      <formula>AND($N$18&gt;=31,$N$18&lt;=50)</formula>
    </cfRule>
  </conditionalFormatting>
  <conditionalFormatting sqref="B39:V39">
    <cfRule type="expression" priority="6" dxfId="2" stopIfTrue="1">
      <formula>AND($N$18&gt;=51,$N$18&lt;=200)</formula>
    </cfRule>
  </conditionalFormatting>
  <conditionalFormatting sqref="B40:I40 N40:V40">
    <cfRule type="expression" priority="5" dxfId="2" stopIfTrue="1">
      <formula>AND($N$18&gt;=201,$N$18&lt;=1000)</formula>
    </cfRule>
  </conditionalFormatting>
  <conditionalFormatting sqref="N41:V41 G41:I41 B41">
    <cfRule type="expression" priority="4" dxfId="2" stopIfTrue="1">
      <formula>AND($N$18&gt;=1001,$N$18&lt;=5000)</formula>
    </cfRule>
  </conditionalFormatting>
  <conditionalFormatting sqref="B42:V42">
    <cfRule type="expression" priority="3" dxfId="2" stopIfTrue="1">
      <formula>$N$18&gt;=5001</formula>
    </cfRule>
  </conditionalFormatting>
  <conditionalFormatting sqref="A32:BE46">
    <cfRule type="expression" priority="2" dxfId="17" stopIfTrue="1">
      <formula>$L$5="無し"</formula>
    </cfRule>
  </conditionalFormatting>
  <conditionalFormatting sqref="Q12:X12">
    <cfRule type="expression" priority="1" dxfId="18" stopIfTrue="1">
      <formula>$L$5="無し"</formula>
    </cfRule>
  </conditionalFormatting>
  <dataValidations count="5">
    <dataValidation type="list" allowBlank="1" showInputMessage="1" showErrorMessage="1" sqref="L6:S6">
      <formula1>$BF$3:$BF$4</formula1>
    </dataValidation>
    <dataValidation type="whole" operator="greaterThanOrEqual" allowBlank="1" showInputMessage="1" showErrorMessage="1" imeMode="off" sqref="L3:S4 BI27">
      <formula1>0</formula1>
    </dataValidation>
    <dataValidation type="list" allowBlank="1" showInputMessage="1" showErrorMessage="1" imeMode="hiragana" sqref="L5:S5">
      <formula1>$BF$3:$BF$4</formula1>
    </dataValidation>
    <dataValidation type="list" allowBlank="1" showErrorMessage="1" promptTitle="下記のリストから選択してください。" prompt="家事用&#10;営業用&#10;団体用&#10;臨時用&#10;" error="リストから選択してください。" imeMode="hiragana" sqref="BI26">
      <formula1>$BH$19:$BH$22</formula1>
    </dataValidation>
    <dataValidation type="list" allowBlank="1" showErrorMessage="1" promptTitle="下記のリストから選択してください。" prompt="家事用&#10;営業用&#10;団体用&#10;臨時用&#10;" error="リストから選択してください。" imeMode="hiragana" sqref="BI3">
      <formula1>$B$19:$B$23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水道課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水道課</dc:creator>
  <cp:keywords/>
  <dc:description>password：suigyoumu</dc:description>
  <cp:lastModifiedBy/>
  <cp:lastPrinted>2020-08-27T02:40:50Z</cp:lastPrinted>
  <dcterms:created xsi:type="dcterms:W3CDTF">2007-01-29T05:13:39Z</dcterms:created>
  <dcterms:modified xsi:type="dcterms:W3CDTF">2020-08-27T02:43:39Z</dcterms:modified>
  <cp:category/>
  <cp:version/>
  <cp:contentType/>
  <cp:contentStatus/>
</cp:coreProperties>
</file>